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45" windowWidth="11580" windowHeight="7560" tabRatio="865" activeTab="0"/>
  </bookViews>
  <sheets>
    <sheet name="Statik" sheetId="1" r:id="rId1"/>
    <sheet name="Stutzen" sheetId="2" r:id="rId2"/>
    <sheet name="Öse, Verankerung" sheetId="3" r:id="rId3"/>
    <sheet name="D1" sheetId="4" r:id="rId4"/>
  </sheets>
  <definedNames>
    <definedName name="_xlfn.BAHTTEXT" hidden="1">#NAME?</definedName>
    <definedName name="alleplaste">'D1'!$A$5:$A$19</definedName>
    <definedName name="alleplaste1">'D1'!$A$5:$A$7</definedName>
    <definedName name="belastung">'Statik'!$N$31:$N$32</definedName>
    <definedName name="_xlnm.Print_Area" localSheetId="2">'Öse, Verankerung'!$A$1:$K$53</definedName>
    <definedName name="_xlnm.Print_Area" localSheetId="0">'Statik'!$A$1:$L$176</definedName>
    <definedName name="_xlnm.Print_Area" localSheetId="1">'Stutzen'!$A$1:$L$55</definedName>
    <definedName name="medien">'Statik'!$N$29:$N$30</definedName>
    <definedName name="solver_adj" localSheetId="0" hidden="1">'Statik'!#REF!</definedName>
    <definedName name="solver_adj" localSheetId="1" hidden="1">'Stutzen'!#REF!</definedName>
    <definedName name="solver_cvg" localSheetId="0" hidden="1">1</definedName>
    <definedName name="solver_cvg" localSheetId="1" hidden="1">1</definedName>
    <definedName name="solver_drv" localSheetId="0" hidden="1">1</definedName>
    <definedName name="solver_drv" localSheetId="1" hidden="1">1</definedName>
    <definedName name="solver_est" localSheetId="0" hidden="1">1</definedName>
    <definedName name="solver_est" localSheetId="1" hidden="1">1</definedName>
    <definedName name="solver_itr" localSheetId="0" hidden="1">100</definedName>
    <definedName name="solver_itr" localSheetId="1" hidden="1">100</definedName>
    <definedName name="solver_lhs1" localSheetId="0" hidden="1">'Statik'!#REF!</definedName>
    <definedName name="solver_lhs1" localSheetId="1" hidden="1">'Stutzen'!#REF!</definedName>
    <definedName name="solver_lhs2" localSheetId="0" hidden="1">'Statik'!#REF!</definedName>
    <definedName name="solver_lhs2" localSheetId="1" hidden="1">'Stutzen'!#REF!</definedName>
    <definedName name="solver_lin" localSheetId="0" hidden="1">2</definedName>
    <definedName name="solver_lin" localSheetId="1" hidden="1">2</definedName>
    <definedName name="solver_neg" localSheetId="0" hidden="1">2</definedName>
    <definedName name="solver_neg" localSheetId="1" hidden="1">2</definedName>
    <definedName name="solver_num" localSheetId="0" hidden="1">1</definedName>
    <definedName name="solver_num" localSheetId="1" hidden="1">1</definedName>
    <definedName name="solver_nwt" localSheetId="0" hidden="1">1</definedName>
    <definedName name="solver_nwt" localSheetId="1" hidden="1">1</definedName>
    <definedName name="solver_opt" localSheetId="0" hidden="1">'Statik'!#REF!</definedName>
    <definedName name="solver_opt" localSheetId="1" hidden="1">'Stutzen'!#REF!</definedName>
    <definedName name="solver_pre" localSheetId="0" hidden="1">1</definedName>
    <definedName name="solver_pre" localSheetId="1" hidden="1">1</definedName>
    <definedName name="solver_rel1" localSheetId="0" hidden="1">2</definedName>
    <definedName name="solver_rel1" localSheetId="1" hidden="1">2</definedName>
    <definedName name="solver_rel2" localSheetId="0" hidden="1">1</definedName>
    <definedName name="solver_rel2" localSheetId="1" hidden="1">1</definedName>
    <definedName name="solver_rhs1" localSheetId="0" hidden="1">'Statik'!#REF!</definedName>
    <definedName name="solver_rhs1" localSheetId="1" hidden="1">'Stutzen'!#REF!</definedName>
    <definedName name="solver_rhs2" localSheetId="0" hidden="1">'Statik'!#REF!</definedName>
    <definedName name="solver_rhs2" localSheetId="1" hidden="1">'Stutzen'!#REF!</definedName>
    <definedName name="solver_scl" localSheetId="0" hidden="1">2</definedName>
    <definedName name="solver_scl" localSheetId="1" hidden="1">2</definedName>
    <definedName name="solver_sho" localSheetId="0" hidden="1">2</definedName>
    <definedName name="solver_sho" localSheetId="1" hidden="1">2</definedName>
    <definedName name="solver_tim" localSheetId="0" hidden="1">100</definedName>
    <definedName name="solver_tim" localSheetId="1" hidden="1">100</definedName>
    <definedName name="solver_tol" localSheetId="0" hidden="1">5</definedName>
    <definedName name="solver_tol" localSheetId="1" hidden="1">5</definedName>
    <definedName name="solver_typ" localSheetId="0" hidden="1">1</definedName>
    <definedName name="solver_typ" localSheetId="1" hidden="1">1</definedName>
    <definedName name="solver_val" localSheetId="0" hidden="1">0</definedName>
    <definedName name="solver_val" localSheetId="1" hidden="1">0</definedName>
    <definedName name="Zeit">'Statik'!$N$13:$N$16</definedName>
  </definedNames>
  <calcPr fullCalcOnLoad="1"/>
</workbook>
</file>

<file path=xl/comments1.xml><?xml version="1.0" encoding="utf-8"?>
<comments xmlns="http://schemas.openxmlformats.org/spreadsheetml/2006/main">
  <authors>
    <author>Hans Bullack.</author>
    <author>Hans Bullack</author>
  </authors>
  <commentList>
    <comment ref="F41" authorId="0">
      <text>
        <r>
          <rPr>
            <b/>
            <sz val="8"/>
            <rFont val="Arial"/>
            <family val="2"/>
          </rPr>
          <t xml:space="preserve">Abminderungsfaktor durch Medieneinfluß auf die  Festigkeit.
Kritische Medien nach EN 1778 : 1999 bewerten.
</t>
        </r>
        <r>
          <rPr>
            <b/>
            <sz val="8"/>
            <color indexed="10"/>
            <rFont val="Arial"/>
            <family val="2"/>
          </rPr>
          <t xml:space="preserve">A2 =  1  </t>
        </r>
        <r>
          <rPr>
            <sz val="8"/>
            <rFont val="Arial"/>
            <family val="2"/>
          </rPr>
          <t xml:space="preserve">für Wasser und  vergleichbare Medien .
</t>
        </r>
        <r>
          <rPr>
            <b/>
            <sz val="8"/>
            <color indexed="10"/>
            <rFont val="Arial"/>
            <family val="2"/>
          </rPr>
          <t xml:space="preserve">A2 = 1,1 --- 1,4 </t>
        </r>
        <r>
          <rPr>
            <sz val="8"/>
            <color indexed="10"/>
            <rFont val="Arial"/>
            <family val="2"/>
          </rPr>
          <t>( 1,4 erst bei ca. 80°)</t>
        </r>
        <r>
          <rPr>
            <b/>
            <sz val="8"/>
            <color indexed="10"/>
            <rFont val="Arial"/>
            <family val="2"/>
          </rPr>
          <t xml:space="preserve">  </t>
        </r>
        <r>
          <rPr>
            <sz val="8"/>
            <rFont val="Arial"/>
            <family val="2"/>
          </rPr>
          <t xml:space="preserve">Chemieabwasser,
</t>
        </r>
        <r>
          <rPr>
            <b/>
            <sz val="8"/>
            <color indexed="10"/>
            <rFont val="Arial"/>
            <family val="2"/>
          </rPr>
          <t xml:space="preserve">A2 = 2  </t>
        </r>
        <r>
          <rPr>
            <sz val="8"/>
            <rFont val="Arial"/>
            <family val="2"/>
          </rPr>
          <t xml:space="preserve">alkalische Lösungen
</t>
        </r>
        <r>
          <rPr>
            <b/>
            <sz val="8"/>
            <color indexed="10"/>
            <rFont val="Arial"/>
            <family val="2"/>
          </rPr>
          <t>A2 = 1,1- 1,2</t>
        </r>
        <r>
          <rPr>
            <sz val="8"/>
            <rFont val="Arial"/>
            <family val="2"/>
          </rPr>
          <t xml:space="preserve">   Benzin , Methylenchlorid, Natronlauge 
</t>
        </r>
        <r>
          <rPr>
            <b/>
            <sz val="8"/>
            <rFont val="Arial"/>
            <family val="2"/>
          </rPr>
          <t>Hinweis</t>
        </r>
        <r>
          <rPr>
            <sz val="8"/>
            <rFont val="Arial"/>
            <family val="2"/>
          </rPr>
          <t xml:space="preserve"> : bei giftigen und aggressiven Medien die A</t>
        </r>
        <r>
          <rPr>
            <sz val="7"/>
            <rFont val="Arial"/>
            <family val="2"/>
          </rPr>
          <t>2k</t>
        </r>
        <r>
          <rPr>
            <sz val="8"/>
            <rFont val="Arial"/>
            <family val="2"/>
          </rPr>
          <t xml:space="preserve"> - Werte vom Betreiber anfordern oder bestätigen lassen.
Mit o.g.Werten liegt man auf der sicheren Seite im Temperaturbereich bis etwa 40-50°.</t>
        </r>
      </text>
    </comment>
    <comment ref="F36" authorId="1">
      <text>
        <r>
          <rPr>
            <b/>
            <sz val="8"/>
            <rFont val="Arial"/>
            <family val="2"/>
          </rPr>
          <t>Verwendbare Werte für NN :</t>
        </r>
        <r>
          <rPr>
            <sz val="8"/>
            <rFont val="Arial"/>
            <family val="2"/>
          </rPr>
          <t xml:space="preserve">
 ≤ 300 m:  0,75
400 m - 500 m: 1 
500 m - 600 m: 1,25</t>
        </r>
      </text>
    </comment>
    <comment ref="F43" authorId="0">
      <text>
        <r>
          <rPr>
            <b/>
            <sz val="8"/>
            <color indexed="10"/>
            <rFont val="Arial"/>
            <family val="2"/>
          </rPr>
          <t>Belastungsfall  I:</t>
        </r>
        <r>
          <rPr>
            <sz val="8"/>
            <rFont val="Arial"/>
            <family val="2"/>
          </rPr>
          <t xml:space="preserve">
ruhende Belastung bei </t>
        </r>
        <r>
          <rPr>
            <b/>
            <sz val="8"/>
            <rFont val="Arial"/>
            <family val="2"/>
          </rPr>
          <t>Raumtemperatur</t>
        </r>
        <r>
          <rPr>
            <sz val="8"/>
            <rFont val="Arial"/>
            <family val="2"/>
          </rPr>
          <t xml:space="preserve"> und 
konstanten Bedingungen. Im Schadensfall keine Gefährdung von Personen, Sachen und Umwelt möglich.
</t>
        </r>
        <r>
          <rPr>
            <b/>
            <sz val="8"/>
            <color indexed="10"/>
            <rFont val="Arial"/>
            <family val="2"/>
          </rPr>
          <t xml:space="preserve">Belastungsfall  II: </t>
        </r>
        <r>
          <rPr>
            <sz val="8"/>
            <rFont val="Arial"/>
            <family val="2"/>
          </rPr>
          <t xml:space="preserve">
Belastung unter wechselnden Bedingungen,
z.B. Betriebstemperatur, Außentemperatur,  Füllhöhe.
Im Schadensfall ist eine Gefährdung von Personen, Sachen, Umwelt vorhanden.
</t>
        </r>
        <r>
          <rPr>
            <u val="single"/>
            <sz val="8"/>
            <rFont val="Arial"/>
            <family val="2"/>
          </rPr>
          <t>überwachungspflichtige und prüfpflichtige Anlagen</t>
        </r>
        <r>
          <rPr>
            <sz val="8"/>
            <rFont val="Arial"/>
            <family val="2"/>
          </rPr>
          <t xml:space="preserve"> = Belastungsfall  II.</t>
        </r>
      </text>
    </comment>
    <comment ref="F42" authorId="1">
      <text>
        <r>
          <rPr>
            <sz val="8"/>
            <rFont val="Arial"/>
            <family val="2"/>
          </rPr>
          <t xml:space="preserve">Abminderungsfaktor des Mediums bei Stabilitäts-und Verformungsnachweisen.
Gem.EN 1778: 
wenn bekannt ist, dass das Medium quellende Eigenschaft besitzt, dann ist dieser Wert &gt; 1 und vom Betreiber vorzugeben. 
</t>
        </r>
        <r>
          <rPr>
            <u val="single"/>
            <sz val="8"/>
            <rFont val="Arial"/>
            <family val="2"/>
          </rPr>
          <t xml:space="preserve">Nachfolgend Werte der Literatur
</t>
        </r>
        <r>
          <rPr>
            <sz val="8"/>
            <rFont val="Arial"/>
            <family val="2"/>
          </rPr>
          <t xml:space="preserve">PP-H, PVC-NI :  </t>
        </r>
        <r>
          <rPr>
            <b/>
            <sz val="9"/>
            <rFont val="Arial"/>
            <family val="2"/>
          </rPr>
          <t xml:space="preserve">1,2 </t>
        </r>
        <r>
          <rPr>
            <sz val="8"/>
            <rFont val="Arial"/>
            <family val="2"/>
          </rPr>
          <t xml:space="preserve"> DIN 4266-1
PVDF : </t>
        </r>
        <r>
          <rPr>
            <b/>
            <sz val="9"/>
            <rFont val="Arial"/>
            <family val="2"/>
          </rPr>
          <t>1,5</t>
        </r>
        <r>
          <rPr>
            <sz val="8"/>
            <rFont val="Arial"/>
            <family val="2"/>
          </rPr>
          <t xml:space="preserve"> DIN EN 1778
PE 80 : </t>
        </r>
        <r>
          <rPr>
            <b/>
            <sz val="9"/>
            <rFont val="Arial"/>
            <family val="2"/>
          </rPr>
          <t>1,3</t>
        </r>
        <r>
          <rPr>
            <sz val="8"/>
            <rFont val="Arial"/>
            <family val="2"/>
          </rPr>
          <t xml:space="preserve"> DIN 4266</t>
        </r>
      </text>
    </comment>
    <comment ref="G40" authorId="1">
      <text>
        <r>
          <rPr>
            <sz val="8"/>
            <rFont val="Arial"/>
            <family val="2"/>
          </rPr>
          <t>A1 ≥ 1 angezeigter Richtwert eintragen</t>
        </r>
      </text>
    </comment>
    <comment ref="F32" authorId="1">
      <text>
        <r>
          <rPr>
            <sz val="8"/>
            <rFont val="Arial"/>
            <family val="2"/>
          </rPr>
          <t>Können kritische unvorhersehbare Unterdrücke auftreten, z.B beim Abpumpen, absaugen, entleeren etc, dann sollte die Beulstabilität separat mit einen höheren als den min. Unterdruck getestet werden.</t>
        </r>
      </text>
    </comment>
    <comment ref="F101" authorId="1">
      <text>
        <r>
          <rPr>
            <u val="single"/>
            <sz val="8"/>
            <rFont val="Arial"/>
            <family val="2"/>
          </rPr>
          <t>Wenn nicht erfüllt:</t>
        </r>
        <r>
          <rPr>
            <sz val="8"/>
            <rFont val="Arial"/>
            <family val="2"/>
          </rPr>
          <t xml:space="preserve">
- Zylinderwanddicke zu  
   niedrig bemessen</t>
        </r>
        <r>
          <rPr>
            <sz val="8"/>
            <rFont val="Tahoma"/>
            <family val="0"/>
          </rPr>
          <t xml:space="preserve">
</t>
        </r>
        <r>
          <rPr>
            <sz val="8"/>
            <rFont val="Arial"/>
            <family val="2"/>
          </rPr>
          <t>- Schweißnahtfaktoren  
   prüfen, evtl. erhöhen</t>
        </r>
      </text>
    </comment>
    <comment ref="F108" authorId="1">
      <text>
        <r>
          <rPr>
            <u val="single"/>
            <sz val="8"/>
            <rFont val="Arial"/>
            <family val="2"/>
          </rPr>
          <t>Wenn nicht erfüllt:</t>
        </r>
        <r>
          <rPr>
            <sz val="8"/>
            <rFont val="Arial"/>
            <family val="2"/>
          </rPr>
          <t xml:space="preserve">
- Zylinderwanddicke unten zu  
   niedrig bemessen
- anderer Werkstoff</t>
        </r>
        <r>
          <rPr>
            <sz val="8"/>
            <rFont val="Tahoma"/>
            <family val="0"/>
          </rPr>
          <t xml:space="preserve">
</t>
        </r>
        <r>
          <rPr>
            <sz val="8"/>
            <rFont val="Arial"/>
            <family val="2"/>
          </rPr>
          <t>- Schweißnahtfaktoren  
   prüfen, evtl. erhöhen</t>
        </r>
      </text>
    </comment>
    <comment ref="F111" authorId="1">
      <text>
        <r>
          <rPr>
            <u val="single"/>
            <sz val="8"/>
            <rFont val="Arial"/>
            <family val="2"/>
          </rPr>
          <t>Wenn nicht erfüllt:</t>
        </r>
        <r>
          <rPr>
            <sz val="8"/>
            <rFont val="Arial"/>
            <family val="2"/>
          </rPr>
          <t xml:space="preserve">
- Zylinderwanddicke unten zu  
   niedrig bemessen
- anderer Werkstoff</t>
        </r>
        <r>
          <rPr>
            <sz val="8"/>
            <rFont val="Tahoma"/>
            <family val="0"/>
          </rPr>
          <t xml:space="preserve">
</t>
        </r>
        <r>
          <rPr>
            <sz val="8"/>
            <rFont val="Arial"/>
            <family val="2"/>
          </rPr>
          <t>- Schweißnahtfaktoren  
   prüfen, evtl. erhöhen</t>
        </r>
      </text>
    </comment>
    <comment ref="F114" authorId="1">
      <text>
        <r>
          <rPr>
            <u val="single"/>
            <sz val="8"/>
            <rFont val="Arial"/>
            <family val="2"/>
          </rPr>
          <t>Wenn nicht erfüllt:</t>
        </r>
        <r>
          <rPr>
            <sz val="8"/>
            <rFont val="Arial"/>
            <family val="2"/>
          </rPr>
          <t xml:space="preserve">
- Bodendicke zu  
   niedrig bemessen
- anderer Werkstoff</t>
        </r>
      </text>
    </comment>
    <comment ref="F140" authorId="1">
      <text>
        <r>
          <rPr>
            <u val="single"/>
            <sz val="8"/>
            <rFont val="Arial"/>
            <family val="2"/>
          </rPr>
          <t>Wenn nicht erfüllt:</t>
        </r>
        <r>
          <rPr>
            <sz val="8"/>
            <rFont val="Arial"/>
            <family val="2"/>
          </rPr>
          <t xml:space="preserve">
- Dachdicke zu  
   niedrig bemessen
- anderer Werkstoff</t>
        </r>
      </text>
    </comment>
    <comment ref="F159" authorId="1">
      <text>
        <r>
          <rPr>
            <u val="single"/>
            <sz val="8"/>
            <rFont val="Arial"/>
            <family val="2"/>
          </rPr>
          <t>Wenn nicht erfüllt:</t>
        </r>
        <r>
          <rPr>
            <sz val="8"/>
            <rFont val="Arial"/>
            <family val="2"/>
          </rPr>
          <t xml:space="preserve">
- Dicke des Zylinderschuss
  nicht ausreichend gegen axiales  
  Beulen; Dicke erhöhen.
- anderer Werkstoff</t>
        </r>
      </text>
    </comment>
    <comment ref="F166" authorId="1">
      <text>
        <r>
          <rPr>
            <u val="single"/>
            <sz val="8"/>
            <rFont val="Arial"/>
            <family val="2"/>
          </rPr>
          <t>Wenn nicht erfüllt:</t>
        </r>
        <r>
          <rPr>
            <sz val="8"/>
            <rFont val="Arial"/>
            <family val="2"/>
          </rPr>
          <t xml:space="preserve">
- Dicke des Zylinderschuss
  nicht ausreichend gegen  
  plastisches Beulen  
  Dicke erhöhen.
- anderer Werkstoff</t>
        </r>
      </text>
    </comment>
    <comment ref="F172" authorId="1">
      <text>
        <r>
          <rPr>
            <u val="single"/>
            <sz val="8"/>
            <rFont val="Arial"/>
            <family val="2"/>
          </rPr>
          <t>Wenn nicht erfüllt:</t>
        </r>
        <r>
          <rPr>
            <sz val="8"/>
            <rFont val="Arial"/>
            <family val="2"/>
          </rPr>
          <t xml:space="preserve">
- Dachdicke nicht ausreichend  
  gegen plastisches Verformen  
- Dicke erhöhen.
- anderer Werkstoff</t>
        </r>
      </text>
    </comment>
    <comment ref="F34" authorId="1">
      <text>
        <r>
          <rPr>
            <sz val="8"/>
            <rFont val="Arial"/>
            <family val="2"/>
          </rPr>
          <t>Die in der Schriftfarbe blau in den Folgezeilen angezeigten Richtwerte sollten als Min.Werte eingetragen werden.</t>
        </r>
      </text>
    </comment>
    <comment ref="G10" authorId="1">
      <text>
        <r>
          <rPr>
            <sz val="8"/>
            <rFont val="Arial"/>
            <family val="2"/>
          </rPr>
          <t xml:space="preserve">Bei einigen Werkstoffen stehen keine Elastizitätsmodule &gt; 60° zur Verfügung. Die Berechnung des Stabilitätsnachweises ist dann nicht möglich.
</t>
        </r>
        <r>
          <rPr>
            <b/>
            <sz val="8"/>
            <rFont val="Arial"/>
            <family val="2"/>
          </rPr>
          <t>Für T nur ganzzahlige Eingabe.</t>
        </r>
      </text>
    </comment>
    <comment ref="F143" authorId="1">
      <text>
        <r>
          <rPr>
            <sz val="8"/>
            <rFont val="Arial"/>
            <family val="2"/>
          </rPr>
          <t>Wenn E-Modul nicht erfüllt, dann ist kein Nachweis der Stabilität möglich.</t>
        </r>
        <r>
          <rPr>
            <sz val="8"/>
            <rFont val="Tahoma"/>
            <family val="0"/>
          </rPr>
          <t xml:space="preserve"> </t>
        </r>
      </text>
    </comment>
    <comment ref="F38" authorId="0">
      <text>
        <r>
          <rPr>
            <b/>
            <sz val="8"/>
            <color indexed="10"/>
            <rFont val="Arial"/>
            <family val="2"/>
          </rPr>
          <t>Mediengruppe 1,  gefährliche Medien:</t>
        </r>
        <r>
          <rPr>
            <sz val="8"/>
            <rFont val="Arial"/>
            <family val="2"/>
          </rPr>
          <t xml:space="preserve">
explosionsgefährlich, hoch entzündlich, sehr giftig, giftig, brandfördernd, 
Heizöl, bel.Abwasser, fast alle chemischen flüssigen Fluide.
</t>
        </r>
        <r>
          <rPr>
            <b/>
            <sz val="8"/>
            <color indexed="10"/>
            <rFont val="Arial"/>
            <family val="2"/>
          </rPr>
          <t>Mediengruppe 2,  weniger  bzw. ungefährlich:</t>
        </r>
        <r>
          <rPr>
            <sz val="8"/>
            <rFont val="Arial"/>
            <family val="2"/>
          </rPr>
          <t xml:space="preserve"> Kühlwasser, Trinkwasser, nicht belastetes Wasser, Milch etc</t>
        </r>
        <r>
          <rPr>
            <sz val="8"/>
            <rFont val="Tahoma"/>
            <family val="2"/>
          </rPr>
          <t xml:space="preserve">.
</t>
        </r>
        <r>
          <rPr>
            <b/>
            <sz val="8"/>
            <color indexed="10"/>
            <rFont val="Arial"/>
            <family val="2"/>
          </rPr>
          <t>Betrachten Sie Mediengruppe und den folgenden Belastungsfall immer in relativer Zugehörigkeit</t>
        </r>
      </text>
    </comment>
    <comment ref="N49" authorId="1">
      <text>
        <r>
          <rPr>
            <b/>
            <sz val="8"/>
            <rFont val="Arial"/>
            <family val="2"/>
          </rPr>
          <t xml:space="preserve">L 49 -52 </t>
        </r>
        <r>
          <rPr>
            <sz val="8"/>
            <rFont val="Arial"/>
            <family val="2"/>
          </rPr>
          <t>: wverweis Temperatur / Spalte</t>
        </r>
        <r>
          <rPr>
            <sz val="8"/>
            <rFont val="Tahoma"/>
            <family val="0"/>
          </rPr>
          <t xml:space="preserve">
</t>
        </r>
      </text>
    </comment>
    <comment ref="G8" authorId="1">
      <text>
        <r>
          <rPr>
            <b/>
            <u val="single"/>
            <sz val="8"/>
            <rFont val="Arial"/>
            <family val="2"/>
          </rPr>
          <t>Benutzerdefiniert = Überschrift für:</t>
        </r>
        <r>
          <rPr>
            <sz val="8"/>
            <rFont val="Arial"/>
            <family val="2"/>
          </rPr>
          <t xml:space="preserve">
</t>
        </r>
        <r>
          <rPr>
            <b/>
            <sz val="8"/>
            <rFont val="Arial"/>
            <family val="2"/>
          </rPr>
          <t>Benennung 1 - 2</t>
        </r>
        <r>
          <rPr>
            <sz val="8"/>
            <rFont val="Arial"/>
            <family val="2"/>
          </rPr>
          <t>. Diese Stoffe können in die Datenbank aufgenommen werden.</t>
        </r>
        <r>
          <rPr>
            <u val="single"/>
            <sz val="8"/>
            <rFont val="Arial"/>
            <family val="2"/>
          </rPr>
          <t xml:space="preserve">
Hauptbauteile für folgende Berechnung:</t>
        </r>
        <r>
          <rPr>
            <sz val="8"/>
            <rFont val="Arial"/>
            <family val="2"/>
          </rPr>
          <t xml:space="preserve">
Zylinder, Boden, Dach</t>
        </r>
        <r>
          <rPr>
            <sz val="8"/>
            <rFont val="Tahoma"/>
            <family val="0"/>
          </rPr>
          <t xml:space="preserve">
</t>
        </r>
      </text>
    </comment>
    <comment ref="F39" authorId="1">
      <text>
        <r>
          <rPr>
            <sz val="8"/>
            <rFont val="Arial"/>
            <family val="2"/>
          </rPr>
          <t>Gas = 10 kg / m</t>
        </r>
        <r>
          <rPr>
            <vertAlign val="superscript"/>
            <sz val="8"/>
            <rFont val="Arial"/>
            <family val="2"/>
          </rPr>
          <t>3</t>
        </r>
        <r>
          <rPr>
            <sz val="8"/>
            <rFont val="Tahoma"/>
            <family val="0"/>
          </rPr>
          <t xml:space="preserve">
</t>
        </r>
        <r>
          <rPr>
            <sz val="8"/>
            <rFont val="Arial"/>
            <family val="2"/>
          </rPr>
          <t>Wasser = 1000
Chemieabwasser ~ 1100 weitere festlegen.</t>
        </r>
      </text>
    </comment>
  </commentList>
</comments>
</file>

<file path=xl/comments2.xml><?xml version="1.0" encoding="utf-8"?>
<comments xmlns="http://schemas.openxmlformats.org/spreadsheetml/2006/main">
  <authors>
    <author>Hans Bullack</author>
  </authors>
  <commentList>
    <comment ref="H19" authorId="0">
      <text>
        <r>
          <rPr>
            <sz val="8"/>
            <rFont val="Arial"/>
            <family val="2"/>
          </rPr>
          <t xml:space="preserve">Ist Stutzen B nicht erforderlich, dann keine Eingabe. Es erscheint triotzdem  " </t>
        </r>
        <r>
          <rPr>
            <i/>
            <sz val="8"/>
            <color indexed="10"/>
            <rFont val="Arial"/>
            <family val="2"/>
          </rPr>
          <t>erfüllt</t>
        </r>
        <r>
          <rPr>
            <sz val="8"/>
            <rFont val="Arial"/>
            <family val="2"/>
          </rPr>
          <t xml:space="preserve"> "</t>
        </r>
        <r>
          <rPr>
            <sz val="8"/>
            <rFont val="Tahoma"/>
            <family val="0"/>
          </rPr>
          <t xml:space="preserve">
</t>
        </r>
      </text>
    </comment>
    <comment ref="G53" authorId="0">
      <text>
        <r>
          <rPr>
            <b/>
            <sz val="8"/>
            <color indexed="10"/>
            <rFont val="Arial"/>
            <family val="2"/>
          </rPr>
          <t>Bedingung ≤ 1 nicht erfüllt</t>
        </r>
        <r>
          <rPr>
            <sz val="8"/>
            <rFont val="Arial"/>
            <family val="2"/>
          </rPr>
          <t xml:space="preserve">
- Zylinder- bzw. Dachdicke im   
   Bereich des Stutzens zu niedrig
-  Stutzen Ø zu groß</t>
        </r>
      </text>
    </comment>
    <comment ref="D8" authorId="0">
      <text>
        <r>
          <rPr>
            <b/>
            <sz val="8"/>
            <color indexed="10"/>
            <rFont val="Arial"/>
            <family val="2"/>
          </rPr>
          <t>Wenn nicht erfüllt</t>
        </r>
        <r>
          <rPr>
            <sz val="8"/>
            <rFont val="Arial"/>
            <family val="2"/>
          </rPr>
          <t xml:space="preserve"> : Behälterstatik nicht abgeschlossen oder Stutzenwerkstoff nicht zulässig für die Temperatur.
Wird nur 1 Zyl. Stutzen berechnet, dann immer</t>
        </r>
        <r>
          <rPr>
            <b/>
            <sz val="9"/>
            <rFont val="Arial"/>
            <family val="2"/>
          </rPr>
          <t xml:space="preserve"> A</t>
        </r>
        <r>
          <rPr>
            <sz val="8"/>
            <rFont val="Arial"/>
            <family val="2"/>
          </rPr>
          <t xml:space="preserve"> in beliebiger Lage wählen.
</t>
        </r>
        <r>
          <rPr>
            <u val="single"/>
            <sz val="8"/>
            <rFont val="Arial"/>
            <family val="2"/>
          </rPr>
          <t>Dachstutzen</t>
        </r>
        <r>
          <rPr>
            <sz val="8"/>
            <rFont val="Arial"/>
            <family val="2"/>
          </rPr>
          <t xml:space="preserve"> </t>
        </r>
        <r>
          <rPr>
            <b/>
            <sz val="9"/>
            <rFont val="Arial"/>
            <family val="2"/>
          </rPr>
          <t>C</t>
        </r>
        <r>
          <rPr>
            <sz val="8"/>
            <rFont val="Arial"/>
            <family val="2"/>
          </rPr>
          <t>: es ist nur der größte Stutzen in Dachrandnähe zu berechnen.</t>
        </r>
      </text>
    </comment>
    <comment ref="H10" authorId="0">
      <text>
        <r>
          <rPr>
            <sz val="8"/>
            <rFont val="Arial"/>
            <family val="2"/>
          </rPr>
          <t>Für die Standzeit des Stutzens gilt 25 Jahre als Bemessungswert.</t>
        </r>
        <r>
          <rPr>
            <sz val="8"/>
            <rFont val="Tahoma"/>
            <family val="0"/>
          </rPr>
          <t xml:space="preserve">
</t>
        </r>
      </text>
    </comment>
  </commentList>
</comments>
</file>

<file path=xl/comments3.xml><?xml version="1.0" encoding="utf-8"?>
<comments xmlns="http://schemas.openxmlformats.org/spreadsheetml/2006/main">
  <authors>
    <author>Hans Bullack</author>
  </authors>
  <commentList>
    <comment ref="F37" authorId="0">
      <text>
        <r>
          <rPr>
            <sz val="8"/>
            <rFont val="Arial"/>
            <family val="2"/>
          </rPr>
          <t xml:space="preserve">Auf Grund der Lochleibung  Schäkel / Kunststoff, ist bei Nichterfüllung ggf. der Ø des Schäkels und damit der Loch Ø in der Öse zu erhöhen.
</t>
        </r>
        <r>
          <rPr>
            <u val="single"/>
            <sz val="8"/>
            <rFont val="Arial"/>
            <family val="2"/>
          </rPr>
          <t>Ist der Ø zu klein</t>
        </r>
        <r>
          <rPr>
            <sz val="8"/>
            <rFont val="Arial"/>
            <family val="2"/>
          </rPr>
          <t>, dann führt die zul.Tragfähigkeit zu einer unverhältnismäßig hohen Dicke.</t>
        </r>
      </text>
    </comment>
    <comment ref="H13" authorId="0">
      <text>
        <r>
          <rPr>
            <sz val="8"/>
            <rFont val="Arial"/>
            <family val="2"/>
          </rPr>
          <t>Bei großen Lasten; großen Ø wählen; wegen zulässiger Lochleibung bei zul. Dicke der Öse.</t>
        </r>
        <r>
          <rPr>
            <sz val="8"/>
            <rFont val="Tahoma"/>
            <family val="0"/>
          </rPr>
          <t xml:space="preserve">
</t>
        </r>
      </text>
    </comment>
    <comment ref="G50" authorId="0">
      <text>
        <r>
          <rPr>
            <sz val="8"/>
            <rFont val="Arial"/>
            <family val="2"/>
          </rPr>
          <t>Wenn nicht erfüllt: 
- Anzahl der Pratzen erhöhen
- Pratzenbreite erhöhen</t>
        </r>
      </text>
    </comment>
    <comment ref="H23" authorId="0">
      <text>
        <r>
          <rPr>
            <sz val="8"/>
            <rFont val="Arial"/>
            <family val="2"/>
          </rPr>
          <t xml:space="preserve">Die berechneten Pratzenkräfte sind maßgebend für die Bemessung der Ankerschraube und der </t>
        </r>
        <r>
          <rPr>
            <b/>
            <sz val="8"/>
            <rFont val="Arial"/>
            <family val="2"/>
          </rPr>
          <t>Verankerung in der Bodenplatte</t>
        </r>
      </text>
    </comment>
    <comment ref="J20" authorId="0">
      <text>
        <r>
          <rPr>
            <sz val="8"/>
            <rFont val="Arial"/>
            <family val="2"/>
          </rPr>
          <t xml:space="preserve">Wenn keine Verankerung erforderlich ist, dann entfällt die weitere Eingabe.
Die Maße </t>
        </r>
        <r>
          <rPr>
            <b/>
            <i/>
            <sz val="8"/>
            <rFont val="Arial"/>
            <family val="2"/>
          </rPr>
          <t>s</t>
        </r>
        <r>
          <rPr>
            <sz val="8"/>
            <rFont val="Arial"/>
            <family val="2"/>
          </rPr>
          <t xml:space="preserve"> und </t>
        </r>
        <r>
          <rPr>
            <b/>
            <i/>
            <sz val="8"/>
            <rFont val="Arial"/>
            <family val="2"/>
          </rPr>
          <t>L</t>
        </r>
        <r>
          <rPr>
            <sz val="8"/>
            <rFont val="Arial"/>
            <family val="2"/>
          </rPr>
          <t xml:space="preserve"> sind keine Berech.Maße. Diese sind vom Konstrukteur festgelegt.</t>
        </r>
      </text>
    </comment>
    <comment ref="F38" authorId="0">
      <text>
        <r>
          <rPr>
            <sz val="8"/>
            <rFont val="Arial"/>
            <family val="2"/>
          </rPr>
          <t>Wenn nicht erfüllt:
- Dicke der Öse, 
- Breite der Öse prüfen.</t>
        </r>
      </text>
    </comment>
    <comment ref="H39" authorId="0">
      <text>
        <r>
          <rPr>
            <sz val="8"/>
            <rFont val="Arial"/>
            <family val="2"/>
          </rPr>
          <t xml:space="preserve">Ist </t>
        </r>
        <r>
          <rPr>
            <i/>
            <sz val="8"/>
            <rFont val="Arial"/>
            <family val="2"/>
          </rPr>
          <t>n</t>
        </r>
        <r>
          <rPr>
            <sz val="6.5"/>
            <rFont val="Arial"/>
            <family val="2"/>
          </rPr>
          <t>zd</t>
        </r>
        <r>
          <rPr>
            <sz val="8"/>
            <rFont val="Arial"/>
            <family val="2"/>
          </rPr>
          <t xml:space="preserve"> = negativ und alle vorhandenen Kräfte ebenfalls, dann ist keine Verankerung erforderlich.
Bei Außenaufstellung kann die Windkraft maßgebend sein.</t>
        </r>
        <r>
          <rPr>
            <sz val="8"/>
            <rFont val="Tahoma"/>
            <family val="0"/>
          </rPr>
          <t xml:space="preserve">
</t>
        </r>
      </text>
    </comment>
    <comment ref="H17" authorId="0">
      <text>
        <r>
          <rPr>
            <sz val="8"/>
            <rFont val="Arial"/>
            <family val="2"/>
          </rPr>
          <t>Die Belastungen sollten durch zusätzliche Anbauten gering gehalten werden.</t>
        </r>
        <r>
          <rPr>
            <sz val="8"/>
            <rFont val="Tahoma"/>
            <family val="0"/>
          </rPr>
          <t xml:space="preserve">
</t>
        </r>
      </text>
    </comment>
  </commentList>
</comments>
</file>

<file path=xl/comments4.xml><?xml version="1.0" encoding="utf-8"?>
<comments xmlns="http://schemas.openxmlformats.org/spreadsheetml/2006/main">
  <authors>
    <author>Hans Bullack</author>
  </authors>
  <commentList>
    <comment ref="A1" authorId="0">
      <text>
        <r>
          <rPr>
            <sz val="8"/>
            <rFont val="Tahoma"/>
            <family val="0"/>
          </rPr>
          <t xml:space="preserve">Die Datenbank kann durch 2 neue Stoffe ergänzt werden. Für diesen Fall müssen in jeder hier vorhandenen Dateigruppe Daten vorhanden und eingetragen werden. 
Für alle vorhandenen Stoffe können die Kennwerte entsprechen aktueller Korrekturen verändert oder ergänzt werden. Dies erfolgt immer in der vorgegebenen Struktur. </t>
        </r>
      </text>
    </comment>
  </commentList>
</comments>
</file>

<file path=xl/sharedStrings.xml><?xml version="1.0" encoding="utf-8"?>
<sst xmlns="http://schemas.openxmlformats.org/spreadsheetml/2006/main" count="775" uniqueCount="494">
  <si>
    <t>mm</t>
  </si>
  <si>
    <t>° C</t>
  </si>
  <si>
    <t>Einheit</t>
  </si>
  <si>
    <t>bar</t>
  </si>
  <si>
    <t>Bearbeiter</t>
  </si>
  <si>
    <t>Benennung</t>
  </si>
  <si>
    <t>Bemerkungen</t>
  </si>
  <si>
    <t>PE-HD</t>
  </si>
  <si>
    <t>N</t>
  </si>
  <si>
    <t>Aufgabenstellung</t>
  </si>
  <si>
    <r>
      <t>N / mm</t>
    </r>
    <r>
      <rPr>
        <vertAlign val="superscript"/>
        <sz val="8"/>
        <rFont val="Arial"/>
        <family val="2"/>
      </rPr>
      <t>2</t>
    </r>
  </si>
  <si>
    <t>Belastung und Wichtungsart</t>
  </si>
  <si>
    <t>1 Jahr</t>
  </si>
  <si>
    <t>5 Jahre</t>
  </si>
  <si>
    <t>10 Jahre</t>
  </si>
  <si>
    <t>25 Jahre</t>
  </si>
  <si>
    <t>Auswahl</t>
  </si>
  <si>
    <t>Spannungsnachweis</t>
  </si>
  <si>
    <t>Innenaufstellung</t>
  </si>
  <si>
    <t>Mediengruppe  1</t>
  </si>
  <si>
    <t>Mediengruppe  2</t>
  </si>
  <si>
    <t>Ersatzbelastung durch Winddruck</t>
  </si>
  <si>
    <t>Medien- oder Fluidgruppe</t>
  </si>
  <si>
    <t>C1,C2</t>
  </si>
  <si>
    <t>Dichte</t>
  </si>
  <si>
    <t>3 Monate</t>
  </si>
  <si>
    <t>Zeitstandfestigkeit für Nachweis auf zulässige Spannung / Standsicherheit / Stabilität</t>
  </si>
  <si>
    <t>Nahtdicke nicht ausreichend</t>
  </si>
  <si>
    <t>Belastungsfall  I</t>
  </si>
  <si>
    <t>Belastungsfall  II</t>
  </si>
  <si>
    <t xml:space="preserve">   kein Verformungsnachweis möglich</t>
  </si>
  <si>
    <t>die Stabilität des Daches ist gewährleistet</t>
  </si>
  <si>
    <t>nicht erfüllt, s. Anmerkung</t>
  </si>
  <si>
    <t>erfüllt</t>
  </si>
  <si>
    <t>Intern</t>
  </si>
  <si>
    <t>Datenbank</t>
  </si>
  <si>
    <t>Vorhandene Langzeitbelastung</t>
  </si>
  <si>
    <t>Kritische axiale Beulspannung</t>
  </si>
  <si>
    <t>Geltungsbereich</t>
  </si>
  <si>
    <t>Weitere Literatur ; Quellen</t>
  </si>
  <si>
    <t>Werte</t>
  </si>
  <si>
    <t>Formel</t>
  </si>
  <si>
    <t xml:space="preserve">                         </t>
  </si>
  <si>
    <t>Benennung 1</t>
  </si>
  <si>
    <t>Zeit :  1 Stunde</t>
  </si>
  <si>
    <t>Kurzzeit  E Modul   N / mm²</t>
  </si>
  <si>
    <t>Langzeit  E Modul   N / mm² bei 20°  in Jahren</t>
  </si>
  <si>
    <t>Dach Sommer</t>
  </si>
  <si>
    <t>Dach Winter</t>
  </si>
  <si>
    <t>S</t>
  </si>
  <si>
    <t>Wichtung des Belastungsfalls I / II</t>
  </si>
  <si>
    <t>Werkstoff- / Gestaltsfaktor</t>
  </si>
  <si>
    <t>------------------------------------------------------------------------------</t>
  </si>
  <si>
    <t>Langzeitiger Betriebs-Überdruck</t>
  </si>
  <si>
    <t>Langzeitiger Betriebs-Unterdruck</t>
  </si>
  <si>
    <t>−</t>
  </si>
  <si>
    <t>Außen : Sommer / Winterbedingung</t>
  </si>
  <si>
    <t>Außen : keine Winterbedingungen</t>
  </si>
  <si>
    <t>Standort, Lastfall, Umwelt</t>
  </si>
  <si>
    <t>Dichte des Mediums</t>
  </si>
  <si>
    <t>δ</t>
  </si>
  <si>
    <t>Vorhandene Kurzzeitbelastung</t>
  </si>
  <si>
    <t>−,  mm</t>
  </si>
  <si>
    <t>Manuell eingetragen</t>
  </si>
  <si>
    <t>Zylinder- Umfangsspannung   DVS 2205-2 / Pkt. 4.1.3.1</t>
  </si>
  <si>
    <t>nicht erfüllt</t>
  </si>
  <si>
    <t>Statisch erforderliche Bodendicke</t>
  </si>
  <si>
    <t>Außen Sommer</t>
  </si>
  <si>
    <t>Innen</t>
  </si>
  <si>
    <t>Erforderliche Nachweise nach ( 13 ) , ( 15 )</t>
  </si>
  <si>
    <t>siehe roter P</t>
  </si>
  <si>
    <t>Temperatur</t>
  </si>
  <si>
    <t>≤ 1</t>
  </si>
  <si>
    <t>Doppelnachweis nach 4.12</t>
  </si>
  <si>
    <t>Wirksame Druckfläche Dach</t>
  </si>
  <si>
    <t>Bemessungswert Langzeitfestigkeit</t>
  </si>
  <si>
    <t>Bemessungswert für Zyl.Stabilität</t>
  </si>
  <si>
    <t>Standort</t>
  </si>
  <si>
    <t>Lastkombination</t>
  </si>
  <si>
    <t xml:space="preserve">  Innen</t>
  </si>
  <si>
    <t xml:space="preserve">  Außen Sommer</t>
  </si>
  <si>
    <t xml:space="preserve">  Außen Winter</t>
  </si>
  <si>
    <t>Kwert</t>
  </si>
  <si>
    <r>
      <t>zul.</t>
    </r>
    <r>
      <rPr>
        <sz val="8"/>
        <color indexed="10"/>
        <rFont val="Arial"/>
        <family val="2"/>
      </rPr>
      <t>σ</t>
    </r>
  </si>
  <si>
    <t>Bemessungswert  3 Monate</t>
  </si>
  <si>
    <t>A2</t>
  </si>
  <si>
    <t>Behälterlast mit Füllgut</t>
  </si>
  <si>
    <t>Matrixzeile               hier Spalte 1</t>
  </si>
  <si>
    <t xml:space="preserve">Temp [° C] </t>
  </si>
  <si>
    <t>Abminderung  A1 ; beachte  A1 = A4 nach Lit. DVS 2205 : 1987</t>
  </si>
  <si>
    <t>Kritischer Manteldruck gegen Beulen</t>
  </si>
  <si>
    <t>Axialstabilität / Manteldruckstabilität</t>
  </si>
  <si>
    <t>Bedingung für Stabilität</t>
  </si>
  <si>
    <t>Dachabsicherung gegen Verformung</t>
  </si>
  <si>
    <t>Behälterinhalt oder Medium</t>
  </si>
  <si>
    <t>Symbol</t>
  </si>
  <si>
    <t>Zylinderhöhe</t>
  </si>
  <si>
    <t>d</t>
  </si>
  <si>
    <t>Wanddicke const.</t>
  </si>
  <si>
    <t>Wanddicke 2- stufig</t>
  </si>
  <si>
    <t>Innen Ø</t>
  </si>
  <si>
    <t>Max.Füllhöhe</t>
  </si>
  <si>
    <t>Dachdicke</t>
  </si>
  <si>
    <t xml:space="preserve">Bodendicke </t>
  </si>
  <si>
    <t>Behälterausführung</t>
  </si>
  <si>
    <t>Mittlere Medientemperatur</t>
  </si>
  <si>
    <t>Datei</t>
  </si>
  <si>
    <t>Wanddicke 3- stufig</t>
  </si>
  <si>
    <t>Kurzzeitiger Betriebs-Überdruck</t>
  </si>
  <si>
    <t>T</t>
  </si>
  <si>
    <t>Standzeit des Behälters</t>
  </si>
  <si>
    <t>T nicht zul.</t>
  </si>
  <si>
    <t>Boden Ø</t>
  </si>
  <si>
    <t>Dachneigung</t>
  </si>
  <si>
    <t>Gesamteigenlast des Behälters</t>
  </si>
  <si>
    <t>kN</t>
  </si>
  <si>
    <t>Bemerkung</t>
  </si>
  <si>
    <t>Ohne Dach mit Randversteifung</t>
  </si>
  <si>
    <r>
      <t xml:space="preserve">Beiwerte, Teilsicherheiten </t>
    </r>
    <r>
      <rPr>
        <sz val="10"/>
        <rFont val="Arial"/>
        <family val="2"/>
      </rPr>
      <t xml:space="preserve"> γ</t>
    </r>
  </si>
  <si>
    <t>Statischer Druck</t>
  </si>
  <si>
    <t>Biegemoment durch Wind</t>
  </si>
  <si>
    <t>Wirksame Schneelast</t>
  </si>
  <si>
    <t>Beiwert Ersatzbelastung</t>
  </si>
  <si>
    <r>
      <t xml:space="preserve">T  </t>
    </r>
    <r>
      <rPr>
        <sz val="7"/>
        <rFont val="Arial"/>
        <family val="2"/>
      </rPr>
      <t>in</t>
    </r>
    <r>
      <rPr>
        <sz val="8"/>
        <rFont val="Arial"/>
        <family val="0"/>
      </rPr>
      <t xml:space="preserve"> °C</t>
    </r>
  </si>
  <si>
    <r>
      <t xml:space="preserve"> -, N/mm</t>
    </r>
    <r>
      <rPr>
        <vertAlign val="superscript"/>
        <sz val="8"/>
        <rFont val="Arial"/>
        <family val="2"/>
      </rPr>
      <t>2</t>
    </r>
  </si>
  <si>
    <r>
      <t>Tabellenwerte g / cm</t>
    </r>
    <r>
      <rPr>
        <b/>
        <vertAlign val="superscript"/>
        <sz val="10"/>
        <rFont val="Arial"/>
        <family val="2"/>
      </rPr>
      <t>3</t>
    </r>
  </si>
  <si>
    <r>
      <t>g / cm</t>
    </r>
    <r>
      <rPr>
        <vertAlign val="superscript"/>
        <sz val="8"/>
        <rFont val="Arial"/>
        <family val="2"/>
      </rPr>
      <t>3</t>
    </r>
  </si>
  <si>
    <t>Nm</t>
  </si>
  <si>
    <t>Wirksame Hebelarme</t>
  </si>
  <si>
    <t>m</t>
  </si>
  <si>
    <t>N m</t>
  </si>
  <si>
    <r>
      <t xml:space="preserve">Erforderliche Nachweise nach   </t>
    </r>
    <r>
      <rPr>
        <i/>
        <sz val="8"/>
        <color indexed="48"/>
        <rFont val="Arial"/>
        <family val="2"/>
      </rPr>
      <t>(Tafel 5)</t>
    </r>
  </si>
  <si>
    <t xml:space="preserve">Als Kurzzeit- Mindestwerte sind festgelegt : </t>
  </si>
  <si>
    <t>C ≥ Richtwert</t>
  </si>
  <si>
    <t>Gewichtskraft Dach; - mit Zusatzlast</t>
  </si>
  <si>
    <t>Abstandsmaß</t>
  </si>
  <si>
    <t>Stutzendicke</t>
  </si>
  <si>
    <t>Zylinderdicke</t>
  </si>
  <si>
    <t>kein Wert</t>
  </si>
  <si>
    <t>Geforderte Standzeit</t>
  </si>
  <si>
    <t>Wichtung der Belastungsfälle</t>
  </si>
  <si>
    <t>Außen Ø</t>
  </si>
  <si>
    <t xml:space="preserve">       Die Bilder legen nicht die Konstruktion fest, sie dienen zur Angabe der für die Berechnung notwendigen Maße</t>
  </si>
  <si>
    <r>
      <t>N / mm</t>
    </r>
    <r>
      <rPr>
        <vertAlign val="superscript"/>
        <sz val="8"/>
        <color indexed="12"/>
        <rFont val="Arial"/>
        <family val="2"/>
      </rPr>
      <t>2</t>
    </r>
  </si>
  <si>
    <t>am Ausschnitt</t>
  </si>
  <si>
    <t>Stutzenwerkstoff</t>
  </si>
  <si>
    <t>sta.Druck-H</t>
  </si>
  <si>
    <t>1 / a</t>
  </si>
  <si>
    <t>–</t>
  </si>
  <si>
    <t>Zylinder</t>
  </si>
  <si>
    <t>Dach</t>
  </si>
  <si>
    <t>Richtlinie DVS 2205-2:2003,  DIN 18800 Teil4, DIN 1055-4</t>
  </si>
  <si>
    <t>Kennwerte DIN EN 1778, DVS 2205-1</t>
  </si>
  <si>
    <t xml:space="preserve">       Nachweis der Tragfähigkeit des Grundzylinders  / - des Daches im Stutzenbereich</t>
  </si>
  <si>
    <t>Betriebs-Überdruck / Kurzzeitüberdruck</t>
  </si>
  <si>
    <t>Temperatur: Zylinder / Dach</t>
  </si>
  <si>
    <t>Werkstoff</t>
  </si>
  <si>
    <t>Behälterhöhe</t>
  </si>
  <si>
    <t>h</t>
  </si>
  <si>
    <r>
      <t>Höhe</t>
    </r>
    <r>
      <rPr>
        <i/>
        <sz val="8"/>
        <rFont val="Arial"/>
        <family val="2"/>
      </rPr>
      <t xml:space="preserve"> h</t>
    </r>
    <r>
      <rPr>
        <sz val="6.5"/>
        <rFont val="Arial"/>
        <family val="2"/>
      </rPr>
      <t xml:space="preserve">D </t>
    </r>
    <r>
      <rPr>
        <sz val="8"/>
        <rFont val="Arial"/>
        <family val="2"/>
      </rPr>
      <t>≈</t>
    </r>
  </si>
  <si>
    <t>Prüfung</t>
  </si>
  <si>
    <t>T  Umgebung / Stabilitätsnachweis</t>
  </si>
  <si>
    <r>
      <t>kg / m</t>
    </r>
    <r>
      <rPr>
        <vertAlign val="superscript"/>
        <sz val="8"/>
        <rFont val="Arial"/>
        <family val="0"/>
      </rPr>
      <t>3</t>
    </r>
  </si>
  <si>
    <t>°C</t>
  </si>
  <si>
    <t>Blatt 1 v.4</t>
  </si>
  <si>
    <r>
      <t>kN / m</t>
    </r>
    <r>
      <rPr>
        <vertAlign val="superscript"/>
        <sz val="8"/>
        <rFont val="Arial"/>
        <family val="0"/>
      </rPr>
      <t>2</t>
    </r>
  </si>
  <si>
    <r>
      <t>N / mm</t>
    </r>
    <r>
      <rPr>
        <vertAlign val="superscript"/>
        <sz val="8"/>
        <rFont val="Arial"/>
        <family val="0"/>
      </rPr>
      <t>2</t>
    </r>
  </si>
  <si>
    <t>Maßgebende Berechnungsdrücke und Lasten</t>
  </si>
  <si>
    <r>
      <t>k N / m</t>
    </r>
    <r>
      <rPr>
        <vertAlign val="superscript"/>
        <sz val="8"/>
        <rFont val="Arial"/>
        <family val="0"/>
      </rPr>
      <t>2</t>
    </r>
  </si>
  <si>
    <r>
      <t>mm</t>
    </r>
    <r>
      <rPr>
        <vertAlign val="superscript"/>
        <sz val="8"/>
        <rFont val="Arial"/>
        <family val="2"/>
      </rPr>
      <t>2</t>
    </r>
  </si>
  <si>
    <t xml:space="preserve">Anmerk.Korrekt  </t>
  </si>
  <si>
    <t>Axial-Druckspannung aus Lasten</t>
  </si>
  <si>
    <t>Anzahl Anker</t>
  </si>
  <si>
    <t>Breite der Pratze</t>
  </si>
  <si>
    <t>Nachweis Hebeöse nach 4.1.9</t>
  </si>
  <si>
    <t>Erforderliche Dicke der Öse</t>
  </si>
  <si>
    <t>Erforderliche Breite der Öse</t>
  </si>
  <si>
    <t>Behälterstatik</t>
  </si>
  <si>
    <t>N / mm</t>
  </si>
  <si>
    <t>Breite der Öse</t>
  </si>
  <si>
    <t>nicht erforderlich</t>
  </si>
  <si>
    <t>Distanzblech</t>
  </si>
  <si>
    <t>Nachweise erfüllt</t>
  </si>
  <si>
    <t>PE-Folie, ca.2 dick</t>
  </si>
  <si>
    <r>
      <t xml:space="preserve">Richtwert  </t>
    </r>
    <r>
      <rPr>
        <i/>
        <sz val="7"/>
        <color indexed="12"/>
        <rFont val="Arial"/>
        <family val="2"/>
      </rPr>
      <t>min</t>
    </r>
    <r>
      <rPr>
        <sz val="7"/>
        <color indexed="12"/>
        <rFont val="Arial"/>
        <family val="2"/>
      </rPr>
      <t>–</t>
    </r>
    <r>
      <rPr>
        <i/>
        <sz val="7"/>
        <color indexed="12"/>
        <rFont val="Arial"/>
        <family val="2"/>
      </rPr>
      <t xml:space="preserve">max </t>
    </r>
  </si>
  <si>
    <t>min–max</t>
  </si>
  <si>
    <t>keine Aufwölbung im Boden</t>
  </si>
  <si>
    <t>Montagetemperatur</t>
  </si>
  <si>
    <t>Z ≥ 4</t>
  </si>
  <si>
    <r>
      <t xml:space="preserve">B </t>
    </r>
    <r>
      <rPr>
        <sz val="8"/>
        <rFont val="Arial"/>
        <family val="2"/>
      </rPr>
      <t>≥70</t>
    </r>
  </si>
  <si>
    <t>Zylinder und Dach</t>
  </si>
  <si>
    <t>Stutzeneinbau in</t>
  </si>
  <si>
    <t>mit Aufwölbung im Boden</t>
  </si>
  <si>
    <t>Blatt 3 v. 4</t>
  </si>
  <si>
    <t>Blatt 2 v. 4</t>
  </si>
  <si>
    <t>Blatt 4 v. 4</t>
  </si>
  <si>
    <t>Richtwert Ösendicke</t>
  </si>
  <si>
    <t>Richtlinie DVS 2205-2:2003, DVS 2205-1,  DIN EN 1778</t>
  </si>
  <si>
    <t>vom Benutzer geprüft</t>
  </si>
  <si>
    <r>
      <t xml:space="preserve">alle  S </t>
    </r>
    <r>
      <rPr>
        <sz val="8"/>
        <rFont val="Arial"/>
        <family val="2"/>
      </rPr>
      <t>≥ 4 mm</t>
    </r>
  </si>
  <si>
    <t>Hauptmaße nach DVS</t>
  </si>
  <si>
    <t>A  entfällt</t>
  </si>
  <si>
    <t>B  entfällt</t>
  </si>
  <si>
    <t>C  entfällt</t>
  </si>
  <si>
    <t xml:space="preserve">Anmerk.Eingabe </t>
  </si>
  <si>
    <t>T  Zyl.Stutzen</t>
  </si>
  <si>
    <t>Betriebszeit Jahr</t>
  </si>
  <si>
    <t>T DachStutzen</t>
  </si>
  <si>
    <t>Si ≥ 1,3</t>
  </si>
  <si>
    <t>Spannungsbezogener Sicherheit</t>
  </si>
  <si>
    <t>K-Wert für Zylinderstutzen</t>
  </si>
  <si>
    <t>K-Wert für Dachstutzen</t>
  </si>
  <si>
    <t>Spannungsnachweis Zyl.Schale</t>
  </si>
  <si>
    <t>Vorhandene Beanspruchung</t>
  </si>
  <si>
    <t>Bemessungswerte der Behälterstatik</t>
  </si>
  <si>
    <t>Zähigkeits- / Abminderungsfaktor</t>
  </si>
  <si>
    <t>Nachweis der Dachschale mit  C</t>
  </si>
  <si>
    <t>Bemessungswerte der Dachstatik</t>
  </si>
  <si>
    <t>Spannungsnachweis d.Dachschale</t>
  </si>
  <si>
    <t>Nachrechnung Stutzendicke</t>
  </si>
  <si>
    <t>Gesamt- Leergewichtskraft</t>
  </si>
  <si>
    <t>Gewichtskraft von</t>
  </si>
  <si>
    <t>zusätzl. Anbauten</t>
  </si>
  <si>
    <t>Ausgeführte Dicke Behälterboden</t>
  </si>
  <si>
    <t>wverw.</t>
  </si>
  <si>
    <r>
      <t>Gewählt</t>
    </r>
    <r>
      <rPr>
        <sz val="8"/>
        <rFont val="Arial"/>
        <family val="2"/>
      </rPr>
      <t xml:space="preserve"> Loch Ø</t>
    </r>
  </si>
  <si>
    <t>Pratzenbelastung infolge Windlast</t>
  </si>
  <si>
    <t>Maximale Pratzenkraft</t>
  </si>
  <si>
    <t>Prüfbedingung :</t>
  </si>
  <si>
    <t>Wind-Druck</t>
  </si>
  <si>
    <t>Bemessungsdaten der Verankerung</t>
  </si>
  <si>
    <t xml:space="preserve">Anmerkung  </t>
  </si>
  <si>
    <t>Roter P. unten lesen</t>
  </si>
  <si>
    <t xml:space="preserve">Anmerkung </t>
  </si>
  <si>
    <t>Anmerkung Korrektur</t>
  </si>
  <si>
    <t>keine Verankerung erforderlich</t>
  </si>
  <si>
    <t>Ausgeführt mit Verankerung</t>
  </si>
  <si>
    <r>
      <t xml:space="preserve">Manteldruckstabilität  4.2.2.2  </t>
    </r>
    <r>
      <rPr>
        <sz val="9"/>
        <rFont val="Arial"/>
        <family val="2"/>
      </rPr>
      <t xml:space="preserve"> </t>
    </r>
    <r>
      <rPr>
        <sz val="8"/>
        <rFont val="Arial"/>
        <family val="2"/>
      </rPr>
      <t>(die Berechnung erfolgt für die ungünstigste Bedingung des Wirkens von Unterdrücken)</t>
    </r>
  </si>
  <si>
    <r>
      <t xml:space="preserve">Ankerschraube  </t>
    </r>
    <r>
      <rPr>
        <i/>
        <sz val="8"/>
        <rFont val="Arial"/>
        <family val="2"/>
      </rPr>
      <t>St</t>
    </r>
  </si>
  <si>
    <t xml:space="preserve">Verschwächungswert </t>
  </si>
  <si>
    <t>vorhanden</t>
  </si>
  <si>
    <t xml:space="preserve"> -10 ≤ T</t>
  </si>
  <si>
    <t>E-Modul</t>
  </si>
  <si>
    <t>Bedingung für Zylinder</t>
  </si>
  <si>
    <t>Benutzerdefinierter Kunststoff   1 und 2</t>
  </si>
  <si>
    <t>Wichtiger Hinweis</t>
  </si>
  <si>
    <t xml:space="preserve">          Die Bilder legen nicht die Konstruktion fest, sie dienen zur Angabe der für die Berechnung notwendigen Maße.</t>
  </si>
  <si>
    <t>Kurzzeitiger Betriebs-Unterdruck</t>
  </si>
  <si>
    <t>Nach der Druckgeräte-Richtlinie sind Berechnungen für wirksame Überdrücke von &gt; 0,5 bar nicht zulässig.</t>
  </si>
  <si>
    <t>Abmind. Faktor d. Mediums f. Festigkeit</t>
  </si>
  <si>
    <t>Abmind. Faktor d. Mediums geg. Beulen</t>
  </si>
  <si>
    <t xml:space="preserve">Temp. der benetzten Zylinderwand </t>
  </si>
  <si>
    <t>Kurzzeit-Schweißfaktor</t>
  </si>
  <si>
    <t>Max. Biegemoment</t>
  </si>
  <si>
    <t>Vorh. Mittelzeitbelastung (3 Monate)</t>
  </si>
  <si>
    <t>Festigkeitsnachweis des Boden und Kehlnahtschweißung  Pkt. 4.1.4.1</t>
  </si>
  <si>
    <t>Vorh. Belastung</t>
  </si>
  <si>
    <t>Lastfall: Innenaufstellung</t>
  </si>
  <si>
    <t>Lastfall: Außen Winter</t>
  </si>
  <si>
    <t>Lastfall: Außen Sommer</t>
  </si>
  <si>
    <t>Copyright Vogel Buchverlag</t>
  </si>
  <si>
    <t>Zyl. Wanddicke</t>
  </si>
  <si>
    <t>Die mathem.Symbole, Anmerkungen, Verweise siehe roter Punkt sind Berechnungsbestandteil und zu beachten. Zum Lesen: Cursor aufsetzen</t>
  </si>
  <si>
    <t>Vorh. Beanspruchung in Stutzenhöhe</t>
  </si>
  <si>
    <t xml:space="preserve">       Nachweis der für den Behälter verwendeten Hebeöse/Verankerung</t>
  </si>
  <si>
    <t>Bemessungsdaten für 2 Hebeösen mit Parallelgehänge</t>
  </si>
  <si>
    <t>Berechn. Temp.: Öse / Verankerung</t>
  </si>
  <si>
    <t>Langzeit- / Kurzeitfestigkeit Zylinder</t>
  </si>
  <si>
    <t>Gewichtskraft: Zylinder / Dach</t>
  </si>
  <si>
    <t>Membranzug am unter. Zyl. Schuss</t>
  </si>
  <si>
    <t>Kurzzeit. Ü-Druck</t>
  </si>
  <si>
    <t>Langzeit. Ü-Druck</t>
  </si>
  <si>
    <t>Weitere Literatur; Quellen</t>
  </si>
  <si>
    <t>Werkstoff der Hauptbauteile</t>
  </si>
  <si>
    <r>
      <t xml:space="preserve">DVS max. Hauptmaße : d ≤ 4.000 </t>
    </r>
    <r>
      <rPr>
        <u val="single"/>
        <sz val="7"/>
        <rFont val="Arial"/>
        <family val="2"/>
      </rPr>
      <t>und</t>
    </r>
    <r>
      <rPr>
        <u val="single"/>
        <sz val="8"/>
        <rFont val="Arial"/>
        <family val="2"/>
      </rPr>
      <t xml:space="preserve">  h / d ≤ 6</t>
    </r>
  </si>
  <si>
    <r>
      <t>h</t>
    </r>
    <r>
      <rPr>
        <vertAlign val="subscript"/>
        <sz val="8"/>
        <rFont val="Arial"/>
        <family val="2"/>
      </rPr>
      <t>Z</t>
    </r>
  </si>
  <si>
    <r>
      <t>ß</t>
    </r>
    <r>
      <rPr>
        <sz val="8"/>
        <rFont val="Arial"/>
        <family val="2"/>
      </rPr>
      <t>≥15°</t>
    </r>
  </si>
  <si>
    <r>
      <t>h</t>
    </r>
    <r>
      <rPr>
        <vertAlign val="subscript"/>
        <sz val="8"/>
        <rFont val="Arial"/>
        <family val="2"/>
      </rPr>
      <t>F</t>
    </r>
    <r>
      <rPr>
        <sz val="8"/>
        <rFont val="Arial"/>
        <family val="2"/>
      </rPr>
      <t>≤</t>
    </r>
    <r>
      <rPr>
        <i/>
        <sz val="8"/>
        <rFont val="Arial"/>
        <family val="2"/>
      </rPr>
      <t>h</t>
    </r>
    <r>
      <rPr>
        <vertAlign val="subscript"/>
        <sz val="8"/>
        <rFont val="Arial"/>
        <family val="2"/>
      </rPr>
      <t>Z</t>
    </r>
  </si>
  <si>
    <r>
      <t>D</t>
    </r>
    <r>
      <rPr>
        <vertAlign val="subscript"/>
        <sz val="8"/>
        <rFont val="Arial"/>
        <family val="2"/>
      </rPr>
      <t>B</t>
    </r>
  </si>
  <si>
    <r>
      <t>S</t>
    </r>
    <r>
      <rPr>
        <vertAlign val="subscript"/>
        <sz val="8"/>
        <rFont val="Arial"/>
        <family val="2"/>
      </rPr>
      <t>Z</t>
    </r>
  </si>
  <si>
    <r>
      <t>S</t>
    </r>
    <r>
      <rPr>
        <vertAlign val="subscript"/>
        <sz val="8"/>
        <rFont val="Arial"/>
        <family val="2"/>
      </rPr>
      <t>D</t>
    </r>
  </si>
  <si>
    <r>
      <t>S</t>
    </r>
    <r>
      <rPr>
        <vertAlign val="subscript"/>
        <sz val="8"/>
        <rFont val="Arial"/>
        <family val="2"/>
      </rPr>
      <t>B</t>
    </r>
  </si>
  <si>
    <t>Gemäß DVS 2205-2 sind hydrostatische Belastungen und kurzzeitige sowie langzeitig wirkende Drücke zu berücksichtigen.</t>
  </si>
  <si>
    <r>
      <t>Überdruck = 0,0005 N / mm</t>
    </r>
    <r>
      <rPr>
        <vertAlign val="superscript"/>
        <sz val="8"/>
        <rFont val="Arial"/>
        <family val="2"/>
      </rPr>
      <t xml:space="preserve">2 </t>
    </r>
    <r>
      <rPr>
        <sz val="8"/>
        <rFont val="Arial"/>
        <family val="2"/>
      </rPr>
      <t>(0,005 bar)</t>
    </r>
  </si>
  <si>
    <r>
      <t>Unterdruck = 0,0003 N / mm</t>
    </r>
    <r>
      <rPr>
        <vertAlign val="superscript"/>
        <sz val="8"/>
        <rFont val="Arial"/>
        <family val="2"/>
      </rPr>
      <t>2</t>
    </r>
    <r>
      <rPr>
        <sz val="8"/>
        <rFont val="Arial"/>
        <family val="2"/>
      </rPr>
      <t xml:space="preserve"> (0,003 bar)</t>
    </r>
  </si>
  <si>
    <r>
      <t xml:space="preserve">0 ≤ </t>
    </r>
    <r>
      <rPr>
        <i/>
        <sz val="8"/>
        <rFont val="Arial"/>
        <family val="2"/>
      </rPr>
      <t>p</t>
    </r>
    <r>
      <rPr>
        <vertAlign val="subscript"/>
        <sz val="8"/>
        <rFont val="Arial"/>
        <family val="2"/>
      </rPr>
      <t>ü</t>
    </r>
    <r>
      <rPr>
        <sz val="8"/>
        <rFont val="Arial"/>
        <family val="2"/>
      </rPr>
      <t xml:space="preserve"> ≤ 0,0495</t>
    </r>
  </si>
  <si>
    <r>
      <t>p</t>
    </r>
    <r>
      <rPr>
        <vertAlign val="subscript"/>
        <sz val="8"/>
        <rFont val="Arial"/>
        <family val="2"/>
      </rPr>
      <t>u</t>
    </r>
    <r>
      <rPr>
        <sz val="8"/>
        <rFont val="Arial"/>
        <family val="2"/>
      </rPr>
      <t xml:space="preserve"> ≥ 0</t>
    </r>
  </si>
  <si>
    <r>
      <t>p</t>
    </r>
    <r>
      <rPr>
        <vertAlign val="subscript"/>
        <sz val="8"/>
        <rFont val="Arial"/>
        <family val="2"/>
      </rPr>
      <t>ü,k</t>
    </r>
    <r>
      <rPr>
        <sz val="8"/>
        <rFont val="Arial"/>
        <family val="2"/>
      </rPr>
      <t xml:space="preserve">  ≥ 0,0005 + p</t>
    </r>
    <r>
      <rPr>
        <vertAlign val="subscript"/>
        <sz val="8"/>
        <rFont val="Arial"/>
        <family val="2"/>
      </rPr>
      <t>ü</t>
    </r>
  </si>
  <si>
    <r>
      <t>p</t>
    </r>
    <r>
      <rPr>
        <vertAlign val="subscript"/>
        <sz val="8"/>
        <rFont val="Arial"/>
        <family val="2"/>
      </rPr>
      <t>u,k</t>
    </r>
    <r>
      <rPr>
        <sz val="8"/>
        <rFont val="Arial"/>
        <family val="2"/>
      </rPr>
      <t xml:space="preserve">  ≥ 0,0003 + p</t>
    </r>
    <r>
      <rPr>
        <vertAlign val="subscript"/>
        <sz val="8"/>
        <rFont val="Arial"/>
        <family val="2"/>
      </rPr>
      <t>u</t>
    </r>
  </si>
  <si>
    <r>
      <t>F</t>
    </r>
    <r>
      <rPr>
        <vertAlign val="subscript"/>
        <sz val="8"/>
        <rFont val="Arial"/>
        <family val="2"/>
      </rPr>
      <t>gA</t>
    </r>
    <r>
      <rPr>
        <sz val="8"/>
        <rFont val="Arial"/>
        <family val="2"/>
      </rPr>
      <t xml:space="preserve"> ≥ 0</t>
    </r>
  </si>
  <si>
    <t>Schneelast / Höhe ü. NN</t>
  </si>
  <si>
    <r>
      <t>P</t>
    </r>
    <r>
      <rPr>
        <vertAlign val="subscript"/>
        <sz val="8"/>
        <rFont val="Arial"/>
        <family val="2"/>
      </rPr>
      <t>s</t>
    </r>
    <r>
      <rPr>
        <sz val="8"/>
        <rFont val="Arial"/>
        <family val="2"/>
      </rPr>
      <t xml:space="preserve"> ≥ 0</t>
    </r>
  </si>
  <si>
    <t>ρ ≥ 10</t>
  </si>
  <si>
    <r>
      <t>Zähigkeitsfaktor A</t>
    </r>
    <r>
      <rPr>
        <vertAlign val="subscript"/>
        <sz val="8"/>
        <rFont val="Arial"/>
        <family val="2"/>
      </rPr>
      <t>1</t>
    </r>
    <r>
      <rPr>
        <sz val="8"/>
        <rFont val="Arial"/>
        <family val="2"/>
      </rPr>
      <t xml:space="preserve"> = A</t>
    </r>
    <r>
      <rPr>
        <vertAlign val="subscript"/>
        <sz val="8"/>
        <rFont val="Arial"/>
        <family val="2"/>
      </rPr>
      <t>4</t>
    </r>
    <r>
      <rPr>
        <sz val="8"/>
        <rFont val="Arial"/>
        <family val="2"/>
      </rPr>
      <t xml:space="preserve"> </t>
    </r>
    <r>
      <rPr>
        <vertAlign val="subscript"/>
        <sz val="8"/>
        <rFont val="Arial"/>
        <family val="2"/>
      </rPr>
      <t>(DVS 2205-1)</t>
    </r>
  </si>
  <si>
    <r>
      <t>A</t>
    </r>
    <r>
      <rPr>
        <i/>
        <vertAlign val="subscript"/>
        <sz val="8"/>
        <color indexed="12"/>
        <rFont val="Arial"/>
        <family val="2"/>
      </rPr>
      <t>1</t>
    </r>
    <r>
      <rPr>
        <i/>
        <sz val="8"/>
        <color indexed="12"/>
        <rFont val="Arial"/>
        <family val="2"/>
      </rPr>
      <t xml:space="preserve"> </t>
    </r>
    <r>
      <rPr>
        <sz val="8"/>
        <color indexed="12"/>
        <rFont val="Arial"/>
        <family val="2"/>
      </rPr>
      <t xml:space="preserve">≥ </t>
    </r>
    <r>
      <rPr>
        <i/>
        <sz val="8"/>
        <color indexed="12"/>
        <rFont val="Arial"/>
        <family val="2"/>
      </rPr>
      <t xml:space="preserve">Richtwert </t>
    </r>
  </si>
  <si>
    <r>
      <t>A</t>
    </r>
    <r>
      <rPr>
        <vertAlign val="subscript"/>
        <sz val="8"/>
        <rFont val="Arial"/>
        <family val="2"/>
      </rPr>
      <t>2k</t>
    </r>
    <r>
      <rPr>
        <sz val="8"/>
        <rFont val="Arial"/>
        <family val="2"/>
      </rPr>
      <t xml:space="preserve">  ≥ 1</t>
    </r>
  </si>
  <si>
    <r>
      <t>A</t>
    </r>
    <r>
      <rPr>
        <vertAlign val="subscript"/>
        <sz val="8"/>
        <rFont val="Arial"/>
        <family val="2"/>
      </rPr>
      <t>2I</t>
    </r>
    <r>
      <rPr>
        <sz val="8"/>
        <rFont val="Arial"/>
        <family val="2"/>
      </rPr>
      <t xml:space="preserve"> = A</t>
    </r>
    <r>
      <rPr>
        <vertAlign val="subscript"/>
        <sz val="8"/>
        <rFont val="Arial"/>
        <family val="2"/>
      </rPr>
      <t>2E</t>
    </r>
    <r>
      <rPr>
        <sz val="8"/>
        <rFont val="Arial"/>
        <family val="2"/>
      </rPr>
      <t xml:space="preserve"> ≥ 1</t>
    </r>
  </si>
  <si>
    <t>Langzeit-Schweißfaktor, alle Bauteile</t>
  </si>
  <si>
    <r>
      <t xml:space="preserve">0,6 ≤ </t>
    </r>
    <r>
      <rPr>
        <i/>
        <sz val="8"/>
        <rFont val="Arial"/>
        <family val="2"/>
      </rPr>
      <t>f</t>
    </r>
    <r>
      <rPr>
        <vertAlign val="subscript"/>
        <sz val="8"/>
        <rFont val="Arial"/>
        <family val="2"/>
      </rPr>
      <t>s</t>
    </r>
    <r>
      <rPr>
        <sz val="8"/>
        <rFont val="Arial"/>
        <family val="2"/>
      </rPr>
      <t xml:space="preserve"> ≤ 1</t>
    </r>
  </si>
  <si>
    <r>
      <t xml:space="preserve">0,6 ≤ </t>
    </r>
    <r>
      <rPr>
        <i/>
        <sz val="8"/>
        <rFont val="Arial"/>
        <family val="2"/>
      </rPr>
      <t>f</t>
    </r>
    <r>
      <rPr>
        <vertAlign val="subscript"/>
        <sz val="8"/>
        <rFont val="Arial"/>
        <family val="2"/>
      </rPr>
      <t>z</t>
    </r>
    <r>
      <rPr>
        <sz val="8"/>
        <rFont val="Arial"/>
        <family val="2"/>
      </rPr>
      <t xml:space="preserve"> ≤ 1</t>
    </r>
  </si>
  <si>
    <t>Maßgebende Berechnungs-Temperaturen</t>
  </si>
  <si>
    <r>
      <t>T</t>
    </r>
    <r>
      <rPr>
        <vertAlign val="subscript"/>
        <sz val="8"/>
        <rFont val="Arial"/>
        <family val="2"/>
      </rPr>
      <t>A,a</t>
    </r>
    <r>
      <rPr>
        <sz val="8"/>
        <rFont val="Arial"/>
        <family val="2"/>
      </rPr>
      <t xml:space="preserve">   T</t>
    </r>
    <r>
      <rPr>
        <vertAlign val="subscript"/>
        <sz val="8"/>
        <rFont val="Arial"/>
        <family val="2"/>
      </rPr>
      <t>A,i</t>
    </r>
    <r>
      <rPr>
        <sz val="8"/>
        <rFont val="Arial"/>
        <family val="2"/>
      </rPr>
      <t xml:space="preserve">    T</t>
    </r>
    <r>
      <rPr>
        <vertAlign val="subscript"/>
        <sz val="8"/>
        <rFont val="Arial"/>
        <family val="2"/>
      </rPr>
      <t>stab</t>
    </r>
  </si>
  <si>
    <r>
      <t>T</t>
    </r>
    <r>
      <rPr>
        <vertAlign val="subscript"/>
        <sz val="8"/>
        <rFont val="Arial"/>
        <family val="2"/>
      </rPr>
      <t>M</t>
    </r>
    <r>
      <rPr>
        <sz val="8"/>
        <rFont val="Arial"/>
        <family val="2"/>
      </rPr>
      <t xml:space="preserve"> = T</t>
    </r>
    <r>
      <rPr>
        <vertAlign val="subscript"/>
        <sz val="8"/>
        <rFont val="Arial"/>
        <family val="2"/>
      </rPr>
      <t>Z</t>
    </r>
  </si>
  <si>
    <r>
      <t>T</t>
    </r>
    <r>
      <rPr>
        <vertAlign val="subscript"/>
        <sz val="8"/>
        <rFont val="Arial"/>
        <family val="2"/>
      </rPr>
      <t>D</t>
    </r>
    <r>
      <rPr>
        <sz val="8"/>
        <rFont val="Arial"/>
        <family val="2"/>
      </rPr>
      <t xml:space="preserve">  für das Dach</t>
    </r>
  </si>
  <si>
    <r>
      <t>T</t>
    </r>
    <r>
      <rPr>
        <vertAlign val="subscript"/>
        <sz val="8"/>
        <rFont val="Arial"/>
        <family val="2"/>
      </rPr>
      <t>D</t>
    </r>
    <r>
      <rPr>
        <sz val="8"/>
        <rFont val="Arial"/>
        <family val="2"/>
      </rPr>
      <t xml:space="preserve"> = 0,5 ( T</t>
    </r>
    <r>
      <rPr>
        <vertAlign val="subscript"/>
        <sz val="8"/>
        <rFont val="Arial"/>
        <family val="2"/>
      </rPr>
      <t>M</t>
    </r>
    <r>
      <rPr>
        <sz val="8"/>
        <rFont val="Arial"/>
        <family val="2"/>
      </rPr>
      <t>+T</t>
    </r>
    <r>
      <rPr>
        <vertAlign val="subscript"/>
        <sz val="8"/>
        <rFont val="Arial"/>
        <family val="2"/>
      </rPr>
      <t>A</t>
    </r>
    <r>
      <rPr>
        <sz val="8"/>
        <rFont val="Arial"/>
        <family val="2"/>
      </rPr>
      <t xml:space="preserve"> )</t>
    </r>
  </si>
  <si>
    <r>
      <t>T*</t>
    </r>
    <r>
      <rPr>
        <vertAlign val="subscript"/>
        <sz val="8"/>
        <rFont val="Arial"/>
        <family val="2"/>
      </rPr>
      <t>D</t>
    </r>
    <r>
      <rPr>
        <sz val="8"/>
        <rFont val="Arial"/>
        <family val="2"/>
      </rPr>
      <t xml:space="preserve">  : Sommer T</t>
    </r>
    <r>
      <rPr>
        <vertAlign val="subscript"/>
        <sz val="8"/>
        <rFont val="Arial"/>
        <family val="2"/>
      </rPr>
      <t>norm.</t>
    </r>
    <r>
      <rPr>
        <sz val="8"/>
        <rFont val="Arial"/>
        <family val="2"/>
      </rPr>
      <t xml:space="preserve"> Sommer T</t>
    </r>
    <r>
      <rPr>
        <vertAlign val="subscript"/>
        <sz val="8"/>
        <rFont val="Arial"/>
        <family val="2"/>
      </rPr>
      <t>max</t>
    </r>
  </si>
  <si>
    <r>
      <t>T*</t>
    </r>
    <r>
      <rPr>
        <vertAlign val="subscript"/>
        <sz val="8"/>
        <rFont val="Arial"/>
        <family val="2"/>
      </rPr>
      <t>D</t>
    </r>
    <r>
      <rPr>
        <sz val="8"/>
        <rFont val="Arial"/>
        <family val="2"/>
      </rPr>
      <t xml:space="preserve"> = 0,5 ( T</t>
    </r>
    <r>
      <rPr>
        <vertAlign val="subscript"/>
        <sz val="8"/>
        <rFont val="Arial"/>
        <family val="2"/>
      </rPr>
      <t>D</t>
    </r>
    <r>
      <rPr>
        <sz val="8"/>
        <rFont val="Arial"/>
        <family val="2"/>
      </rPr>
      <t>+ 50 )</t>
    </r>
  </si>
  <si>
    <r>
      <t>T</t>
    </r>
    <r>
      <rPr>
        <vertAlign val="subscript"/>
        <sz val="8"/>
        <rFont val="Arial"/>
        <family val="2"/>
      </rPr>
      <t>DW</t>
    </r>
  </si>
  <si>
    <r>
      <t>T</t>
    </r>
    <r>
      <rPr>
        <vertAlign val="subscript"/>
        <sz val="8"/>
        <rFont val="Arial"/>
        <family val="2"/>
      </rPr>
      <t>D,w</t>
    </r>
    <r>
      <rPr>
        <sz val="8"/>
        <rFont val="Arial"/>
        <family val="2"/>
      </rPr>
      <t xml:space="preserve">   Dach /Winter</t>
    </r>
  </si>
  <si>
    <r>
      <t>Teilsicherheit für  K*</t>
    </r>
    <r>
      <rPr>
        <vertAlign val="subscript"/>
        <sz val="8"/>
        <rFont val="Arial"/>
        <family val="2"/>
      </rPr>
      <t>Kd</t>
    </r>
    <r>
      <rPr>
        <sz val="8"/>
        <rFont val="Arial"/>
        <family val="2"/>
      </rPr>
      <t xml:space="preserve"> -Werte</t>
    </r>
  </si>
  <si>
    <r>
      <t>γ</t>
    </r>
    <r>
      <rPr>
        <vertAlign val="subscript"/>
        <sz val="8"/>
        <rFont val="Arial"/>
        <family val="2"/>
      </rPr>
      <t>M</t>
    </r>
  </si>
  <si>
    <r>
      <t>K*</t>
    </r>
    <r>
      <rPr>
        <vertAlign val="subscript"/>
        <sz val="8"/>
        <rFont val="Arial"/>
        <family val="2"/>
      </rPr>
      <t>L,d</t>
    </r>
    <r>
      <rPr>
        <sz val="8"/>
        <rFont val="Arial"/>
        <family val="2"/>
      </rPr>
      <t xml:space="preserve">  = f (T</t>
    </r>
    <r>
      <rPr>
        <vertAlign val="subscript"/>
        <sz val="8"/>
        <rFont val="Arial"/>
        <family val="2"/>
      </rPr>
      <t>stabil</t>
    </r>
    <r>
      <rPr>
        <sz val="8"/>
        <rFont val="Arial"/>
        <family val="2"/>
      </rPr>
      <t>)</t>
    </r>
  </si>
  <si>
    <r>
      <t>Bemessungswert</t>
    </r>
    <r>
      <rPr>
        <sz val="8"/>
        <rFont val="Arial"/>
        <family val="2"/>
      </rPr>
      <t xml:space="preserve"> Dach Normalzustand</t>
    </r>
  </si>
  <si>
    <r>
      <t>K*</t>
    </r>
    <r>
      <rPr>
        <vertAlign val="subscript"/>
        <sz val="8"/>
        <rFont val="Arial"/>
        <family val="2"/>
      </rPr>
      <t>L,d</t>
    </r>
    <r>
      <rPr>
        <sz val="8"/>
        <rFont val="Arial"/>
        <family val="2"/>
      </rPr>
      <t xml:space="preserve">  = f (T</t>
    </r>
    <r>
      <rPr>
        <vertAlign val="subscript"/>
        <sz val="8"/>
        <rFont val="Arial"/>
        <family val="2"/>
      </rPr>
      <t>D</t>
    </r>
    <r>
      <rPr>
        <sz val="8"/>
        <rFont val="Arial"/>
        <family val="2"/>
      </rPr>
      <t>)</t>
    </r>
  </si>
  <si>
    <r>
      <t>K*</t>
    </r>
    <r>
      <rPr>
        <vertAlign val="subscript"/>
        <sz val="8"/>
        <rFont val="Arial"/>
        <family val="2"/>
      </rPr>
      <t>L,d</t>
    </r>
    <r>
      <rPr>
        <sz val="8"/>
        <rFont val="Arial"/>
        <family val="2"/>
      </rPr>
      <t xml:space="preserve">  = f (T*</t>
    </r>
    <r>
      <rPr>
        <vertAlign val="subscript"/>
        <sz val="8"/>
        <rFont val="Arial"/>
        <family val="2"/>
      </rPr>
      <t>D</t>
    </r>
    <r>
      <rPr>
        <sz val="8"/>
        <rFont val="Arial"/>
        <family val="2"/>
      </rPr>
      <t>)</t>
    </r>
  </si>
  <si>
    <r>
      <t>K*</t>
    </r>
    <r>
      <rPr>
        <vertAlign val="subscript"/>
        <sz val="8"/>
        <rFont val="Arial"/>
        <family val="2"/>
      </rPr>
      <t>M,d</t>
    </r>
    <r>
      <rPr>
        <sz val="8"/>
        <rFont val="Arial"/>
        <family val="2"/>
      </rPr>
      <t xml:space="preserve"> = f (T</t>
    </r>
    <r>
      <rPr>
        <vertAlign val="subscript"/>
        <sz val="8"/>
        <rFont val="Arial"/>
        <family val="2"/>
      </rPr>
      <t>M</t>
    </r>
    <r>
      <rPr>
        <sz val="8"/>
        <rFont val="Arial"/>
        <family val="2"/>
      </rPr>
      <t>)</t>
    </r>
  </si>
  <si>
    <t>Bemessungswert 3 Monate Dach/Sommer</t>
  </si>
  <si>
    <t>Bemessungswert 3 Monate Dach/Winter</t>
  </si>
  <si>
    <r>
      <t>K*</t>
    </r>
    <r>
      <rPr>
        <vertAlign val="subscript"/>
        <sz val="8"/>
        <rFont val="Arial"/>
        <family val="2"/>
      </rPr>
      <t>L,d</t>
    </r>
    <r>
      <rPr>
        <sz val="8"/>
        <rFont val="Arial"/>
        <family val="2"/>
      </rPr>
      <t xml:space="preserve">  = f (T</t>
    </r>
    <r>
      <rPr>
        <vertAlign val="subscript"/>
        <sz val="8"/>
        <rFont val="Arial"/>
        <family val="2"/>
      </rPr>
      <t>DW</t>
    </r>
    <r>
      <rPr>
        <sz val="8"/>
        <rFont val="Arial"/>
        <family val="2"/>
      </rPr>
      <t>)</t>
    </r>
  </si>
  <si>
    <r>
      <t>K*</t>
    </r>
    <r>
      <rPr>
        <vertAlign val="subscript"/>
        <sz val="8"/>
        <rFont val="Arial"/>
        <family val="2"/>
      </rPr>
      <t>L,d</t>
    </r>
    <r>
      <rPr>
        <sz val="8"/>
        <rFont val="Arial"/>
        <family val="2"/>
      </rPr>
      <t xml:space="preserve"> = f (T</t>
    </r>
    <r>
      <rPr>
        <vertAlign val="subscript"/>
        <sz val="8"/>
        <rFont val="Arial"/>
        <family val="2"/>
      </rPr>
      <t>M</t>
    </r>
    <r>
      <rPr>
        <sz val="8"/>
        <rFont val="Arial"/>
        <family val="2"/>
      </rPr>
      <t xml:space="preserve"> = T</t>
    </r>
    <r>
      <rPr>
        <vertAlign val="subscript"/>
        <sz val="8"/>
        <rFont val="Arial"/>
        <family val="2"/>
      </rPr>
      <t>Z</t>
    </r>
    <r>
      <rPr>
        <sz val="8"/>
        <rFont val="Arial"/>
        <family val="2"/>
      </rPr>
      <t>)</t>
    </r>
  </si>
  <si>
    <r>
      <t>K*</t>
    </r>
    <r>
      <rPr>
        <vertAlign val="subscript"/>
        <sz val="8"/>
        <rFont val="Arial"/>
        <family val="2"/>
      </rPr>
      <t>M,d</t>
    </r>
    <r>
      <rPr>
        <sz val="8"/>
        <rFont val="Arial"/>
        <family val="2"/>
      </rPr>
      <t xml:space="preserve">  = f (T*</t>
    </r>
    <r>
      <rPr>
        <vertAlign val="subscript"/>
        <sz val="8"/>
        <rFont val="Arial"/>
        <family val="2"/>
      </rPr>
      <t>D</t>
    </r>
    <r>
      <rPr>
        <sz val="8"/>
        <rFont val="Arial"/>
        <family val="2"/>
      </rPr>
      <t>)</t>
    </r>
  </si>
  <si>
    <r>
      <t>K*</t>
    </r>
    <r>
      <rPr>
        <vertAlign val="subscript"/>
        <sz val="8"/>
        <rFont val="Arial"/>
        <family val="2"/>
      </rPr>
      <t>M,d</t>
    </r>
    <r>
      <rPr>
        <sz val="8"/>
        <rFont val="Arial"/>
        <family val="2"/>
      </rPr>
      <t xml:space="preserve">  = f (T</t>
    </r>
    <r>
      <rPr>
        <vertAlign val="subscript"/>
        <sz val="8"/>
        <rFont val="Arial"/>
        <family val="2"/>
      </rPr>
      <t>DW</t>
    </r>
    <r>
      <rPr>
        <sz val="8"/>
        <rFont val="Arial"/>
        <family val="2"/>
      </rPr>
      <t>)</t>
    </r>
  </si>
  <si>
    <t>Bemessungswert  Kurzzeitfestigkeit</t>
  </si>
  <si>
    <r>
      <t>K*</t>
    </r>
    <r>
      <rPr>
        <vertAlign val="subscript"/>
        <sz val="8"/>
        <rFont val="Arial"/>
        <family val="2"/>
      </rPr>
      <t>K,d</t>
    </r>
    <r>
      <rPr>
        <sz val="8"/>
        <rFont val="Arial"/>
        <family val="2"/>
      </rPr>
      <t xml:space="preserve"> = f (T</t>
    </r>
    <r>
      <rPr>
        <vertAlign val="subscript"/>
        <sz val="8"/>
        <rFont val="Arial"/>
        <family val="2"/>
      </rPr>
      <t xml:space="preserve">M </t>
    </r>
    <r>
      <rPr>
        <sz val="8"/>
        <rFont val="Arial"/>
        <family val="2"/>
      </rPr>
      <t>= T</t>
    </r>
    <r>
      <rPr>
        <vertAlign val="subscript"/>
        <sz val="8"/>
        <rFont val="Arial"/>
        <family val="2"/>
      </rPr>
      <t>z</t>
    </r>
    <r>
      <rPr>
        <sz val="8"/>
        <rFont val="Arial"/>
        <family val="2"/>
      </rPr>
      <t>)</t>
    </r>
  </si>
  <si>
    <r>
      <t>K*</t>
    </r>
    <r>
      <rPr>
        <vertAlign val="subscript"/>
        <sz val="8"/>
        <rFont val="Arial"/>
        <family val="2"/>
      </rPr>
      <t>K,d</t>
    </r>
    <r>
      <rPr>
        <sz val="8"/>
        <rFont val="Arial"/>
        <family val="2"/>
      </rPr>
      <t xml:space="preserve">  für:   0° / T</t>
    </r>
    <r>
      <rPr>
        <vertAlign val="subscript"/>
        <sz val="8"/>
        <rFont val="Arial"/>
        <family val="2"/>
      </rPr>
      <t>D</t>
    </r>
    <r>
      <rPr>
        <sz val="8"/>
        <rFont val="Arial"/>
        <family val="2"/>
      </rPr>
      <t xml:space="preserve"> /  T</t>
    </r>
    <r>
      <rPr>
        <vertAlign val="subscript"/>
        <sz val="8"/>
        <rFont val="Arial"/>
        <family val="2"/>
      </rPr>
      <t>D</t>
    </r>
    <r>
      <rPr>
        <sz val="8"/>
        <rFont val="Arial"/>
        <family val="2"/>
      </rPr>
      <t xml:space="preserve"> = 50°</t>
    </r>
  </si>
  <si>
    <r>
      <t>Beulspannung, Abminderung  A</t>
    </r>
    <r>
      <rPr>
        <vertAlign val="subscript"/>
        <sz val="8"/>
        <rFont val="Arial"/>
        <family val="2"/>
      </rPr>
      <t>2E</t>
    </r>
  </si>
  <si>
    <r>
      <t>K*</t>
    </r>
    <r>
      <rPr>
        <vertAlign val="subscript"/>
        <sz val="8"/>
        <rFont val="Arial"/>
        <family val="2"/>
      </rPr>
      <t>K,d</t>
    </r>
    <r>
      <rPr>
        <sz val="8"/>
        <rFont val="Arial"/>
        <family val="2"/>
      </rPr>
      <t xml:space="preserve">  (≤ 1 h)</t>
    </r>
  </si>
  <si>
    <r>
      <t>γ</t>
    </r>
    <r>
      <rPr>
        <vertAlign val="subscript"/>
        <sz val="8"/>
        <rFont val="Arial"/>
        <family val="2"/>
      </rPr>
      <t>1</t>
    </r>
  </si>
  <si>
    <r>
      <t>G</t>
    </r>
    <r>
      <rPr>
        <vertAlign val="subscript"/>
        <sz val="8"/>
        <rFont val="Arial"/>
        <family val="2"/>
      </rPr>
      <t>E</t>
    </r>
    <r>
      <rPr>
        <sz val="8"/>
        <rFont val="Arial"/>
        <family val="2"/>
      </rPr>
      <t>+Füllung+Montage / Druck, Wind, Schnee</t>
    </r>
  </si>
  <si>
    <r>
      <t>γ</t>
    </r>
    <r>
      <rPr>
        <vertAlign val="subscript"/>
        <sz val="8"/>
        <rFont val="Arial"/>
        <family val="2"/>
      </rPr>
      <t>F1</t>
    </r>
  </si>
  <si>
    <r>
      <t>γ</t>
    </r>
    <r>
      <rPr>
        <vertAlign val="subscript"/>
        <sz val="8"/>
        <rFont val="Arial"/>
        <family val="2"/>
      </rPr>
      <t>F2</t>
    </r>
  </si>
  <si>
    <t>Teilsicherheit reduz. Eigengewicht</t>
  </si>
  <si>
    <r>
      <t>γ</t>
    </r>
    <r>
      <rPr>
        <vertAlign val="subscript"/>
        <sz val="8"/>
        <rFont val="Arial"/>
        <family val="2"/>
      </rPr>
      <t>F3</t>
    </r>
  </si>
  <si>
    <r>
      <t>ρ</t>
    </r>
    <r>
      <rPr>
        <vertAlign val="subscript"/>
        <sz val="8"/>
        <rFont val="Arial"/>
        <family val="2"/>
      </rPr>
      <t>stoff</t>
    </r>
  </si>
  <si>
    <t xml:space="preserve">Zulässige Spannung (1) DVS 2205 T1 </t>
  </si>
  <si>
    <r>
      <t>σ</t>
    </r>
    <r>
      <rPr>
        <vertAlign val="subscript"/>
        <sz val="8"/>
        <rFont val="Arial"/>
        <family val="2"/>
      </rPr>
      <t>zul</t>
    </r>
    <r>
      <rPr>
        <sz val="8"/>
        <rFont val="Arial"/>
        <family val="2"/>
      </rPr>
      <t xml:space="preserve"> =K∙</t>
    </r>
    <r>
      <rPr>
        <i/>
        <sz val="8"/>
        <rFont val="Arial"/>
        <family val="2"/>
      </rPr>
      <t>f</t>
    </r>
    <r>
      <rPr>
        <vertAlign val="subscript"/>
        <sz val="8"/>
        <rFont val="Arial"/>
        <family val="2"/>
      </rPr>
      <t xml:space="preserve">s </t>
    </r>
    <r>
      <rPr>
        <sz val="8"/>
        <rFont val="Arial"/>
        <family val="2"/>
      </rPr>
      <t>/ A</t>
    </r>
    <r>
      <rPr>
        <vertAlign val="subscript"/>
        <sz val="8"/>
        <rFont val="Arial"/>
        <family val="2"/>
      </rPr>
      <t>2k</t>
    </r>
    <r>
      <rPr>
        <sz val="8"/>
        <rFont val="Arial"/>
        <family val="2"/>
      </rPr>
      <t>∙A</t>
    </r>
    <r>
      <rPr>
        <vertAlign val="subscript"/>
        <sz val="8"/>
        <rFont val="Arial"/>
        <family val="2"/>
      </rPr>
      <t>1</t>
    </r>
    <r>
      <rPr>
        <sz val="8"/>
        <rFont val="Arial"/>
        <family val="2"/>
      </rPr>
      <t>∙S</t>
    </r>
  </si>
  <si>
    <t>Gewichtskraft des Zylinders</t>
  </si>
  <si>
    <r>
      <t>p</t>
    </r>
    <r>
      <rPr>
        <vertAlign val="subscript"/>
        <sz val="8"/>
        <rFont val="Arial"/>
        <family val="2"/>
      </rPr>
      <t>stat</t>
    </r>
  </si>
  <si>
    <r>
      <t>G</t>
    </r>
    <r>
      <rPr>
        <vertAlign val="subscript"/>
        <sz val="8"/>
        <rFont val="Arial"/>
        <family val="2"/>
      </rPr>
      <t>z</t>
    </r>
    <r>
      <rPr>
        <sz val="8"/>
        <rFont val="Arial"/>
        <family val="2"/>
      </rPr>
      <t xml:space="preserve"> = A</t>
    </r>
    <r>
      <rPr>
        <vertAlign val="subscript"/>
        <sz val="8"/>
        <rFont val="Arial"/>
        <family val="2"/>
      </rPr>
      <t>z</t>
    </r>
    <r>
      <rPr>
        <sz val="8"/>
        <rFont val="Arial"/>
        <family val="2"/>
      </rPr>
      <t xml:space="preserve"> ∙ S</t>
    </r>
    <r>
      <rPr>
        <vertAlign val="subscript"/>
        <sz val="8"/>
        <rFont val="Arial"/>
        <family val="2"/>
      </rPr>
      <t>z</t>
    </r>
    <r>
      <rPr>
        <sz val="8"/>
        <rFont val="Arial"/>
        <family val="2"/>
      </rPr>
      <t xml:space="preserve"> ∙ ρ ∙ g</t>
    </r>
  </si>
  <si>
    <t>Gewichtskraft  Σ-Zylinder / Bodenplatte</t>
  </si>
  <si>
    <r>
      <t>G</t>
    </r>
    <r>
      <rPr>
        <vertAlign val="subscript"/>
        <sz val="8"/>
        <rFont val="Arial"/>
        <family val="2"/>
      </rPr>
      <t>B</t>
    </r>
  </si>
  <si>
    <r>
      <t>G</t>
    </r>
    <r>
      <rPr>
        <vertAlign val="subscript"/>
        <sz val="8"/>
        <rFont val="Arial"/>
        <family val="2"/>
      </rPr>
      <t>zyl</t>
    </r>
  </si>
  <si>
    <t>Flächenbez. Gewicht des Daches</t>
  </si>
  <si>
    <r>
      <t>g</t>
    </r>
    <r>
      <rPr>
        <vertAlign val="subscript"/>
        <sz val="8"/>
        <rFont val="Arial"/>
        <family val="2"/>
      </rPr>
      <t>D</t>
    </r>
    <r>
      <rPr>
        <sz val="8"/>
        <rFont val="Arial"/>
        <family val="2"/>
      </rPr>
      <t xml:space="preserve"> </t>
    </r>
    <r>
      <rPr>
        <sz val="8"/>
        <color indexed="48"/>
        <rFont val="Arial"/>
        <family val="2"/>
      </rPr>
      <t xml:space="preserve"> (31)</t>
    </r>
    <r>
      <rPr>
        <sz val="8"/>
        <rFont val="Arial"/>
        <family val="2"/>
      </rPr>
      <t xml:space="preserve">    </t>
    </r>
    <r>
      <rPr>
        <i/>
        <sz val="8"/>
        <rFont val="Arial"/>
        <family val="2"/>
      </rPr>
      <t>g</t>
    </r>
    <r>
      <rPr>
        <vertAlign val="subscript"/>
        <sz val="8"/>
        <rFont val="Arial"/>
        <family val="2"/>
      </rPr>
      <t xml:space="preserve">A </t>
    </r>
    <r>
      <rPr>
        <sz val="8"/>
        <rFont val="Arial"/>
        <family val="2"/>
      </rPr>
      <t xml:space="preserve">  </t>
    </r>
  </si>
  <si>
    <r>
      <t>G</t>
    </r>
    <r>
      <rPr>
        <vertAlign val="subscript"/>
        <sz val="8"/>
        <rFont val="Arial"/>
        <family val="2"/>
      </rPr>
      <t>D</t>
    </r>
    <r>
      <rPr>
        <sz val="8"/>
        <rFont val="Arial"/>
        <family val="2"/>
      </rPr>
      <t xml:space="preserve">        </t>
    </r>
    <r>
      <rPr>
        <i/>
        <sz val="8"/>
        <rFont val="Arial"/>
        <family val="2"/>
      </rPr>
      <t>G</t>
    </r>
    <r>
      <rPr>
        <vertAlign val="subscript"/>
        <sz val="8"/>
        <rFont val="Arial"/>
        <family val="2"/>
      </rPr>
      <t>D,A</t>
    </r>
    <r>
      <rPr>
        <sz val="8"/>
        <rFont val="Arial"/>
        <family val="2"/>
      </rPr>
      <t xml:space="preserve">  </t>
    </r>
  </si>
  <si>
    <r>
      <t>Σ G</t>
    </r>
    <r>
      <rPr>
        <vertAlign val="subscript"/>
        <sz val="8"/>
        <rFont val="Arial"/>
        <family val="2"/>
      </rPr>
      <t>Beh.</t>
    </r>
  </si>
  <si>
    <t xml:space="preserve">Staudruck, DIN 1055 Teil 4, C=1,2 </t>
  </si>
  <si>
    <r>
      <t>q</t>
    </r>
    <r>
      <rPr>
        <vertAlign val="subscript"/>
        <sz val="8"/>
        <rFont val="Arial"/>
        <family val="2"/>
      </rPr>
      <t>1</t>
    </r>
    <r>
      <rPr>
        <sz val="8"/>
        <rFont val="Arial"/>
        <family val="2"/>
      </rPr>
      <t xml:space="preserve">    </t>
    </r>
    <r>
      <rPr>
        <i/>
        <sz val="8"/>
        <rFont val="Arial"/>
        <family val="2"/>
      </rPr>
      <t>q</t>
    </r>
    <r>
      <rPr>
        <vertAlign val="subscript"/>
        <sz val="8"/>
        <rFont val="Arial"/>
        <family val="2"/>
      </rPr>
      <t>2</t>
    </r>
    <r>
      <rPr>
        <sz val="8"/>
        <rFont val="Arial"/>
        <family val="2"/>
      </rPr>
      <t xml:space="preserve">    </t>
    </r>
    <r>
      <rPr>
        <i/>
        <sz val="8"/>
        <rFont val="Arial"/>
        <family val="2"/>
      </rPr>
      <t>q</t>
    </r>
    <r>
      <rPr>
        <vertAlign val="subscript"/>
        <sz val="8"/>
        <rFont val="Arial"/>
        <family val="2"/>
      </rPr>
      <t>3</t>
    </r>
  </si>
  <si>
    <t xml:space="preserve">Windlast  (≤ 8m; 8m - 20m; &gt; 20m) </t>
  </si>
  <si>
    <r>
      <t>W</t>
    </r>
    <r>
      <rPr>
        <vertAlign val="subscript"/>
        <sz val="8"/>
        <rFont val="Arial"/>
        <family val="2"/>
      </rPr>
      <t>1</t>
    </r>
    <r>
      <rPr>
        <sz val="8"/>
        <rFont val="Arial"/>
        <family val="2"/>
      </rPr>
      <t xml:space="preserve">    W</t>
    </r>
    <r>
      <rPr>
        <vertAlign val="subscript"/>
        <sz val="8"/>
        <rFont val="Arial"/>
        <family val="2"/>
      </rPr>
      <t>2</t>
    </r>
    <r>
      <rPr>
        <sz val="8"/>
        <rFont val="Arial"/>
        <family val="2"/>
      </rPr>
      <t xml:space="preserve">    W</t>
    </r>
    <r>
      <rPr>
        <vertAlign val="subscript"/>
        <sz val="8"/>
        <rFont val="Arial"/>
        <family val="2"/>
      </rPr>
      <t>3</t>
    </r>
  </si>
  <si>
    <r>
      <t>a</t>
    </r>
    <r>
      <rPr>
        <vertAlign val="subscript"/>
        <sz val="8"/>
        <rFont val="Arial"/>
        <family val="2"/>
      </rPr>
      <t>1</t>
    </r>
    <r>
      <rPr>
        <sz val="8"/>
        <rFont val="Arial"/>
        <family val="2"/>
      </rPr>
      <t xml:space="preserve">;    </t>
    </r>
    <r>
      <rPr>
        <i/>
        <sz val="8"/>
        <rFont val="Arial"/>
        <family val="2"/>
      </rPr>
      <t>a</t>
    </r>
    <r>
      <rPr>
        <vertAlign val="subscript"/>
        <sz val="8"/>
        <rFont val="Arial"/>
        <family val="2"/>
      </rPr>
      <t>2</t>
    </r>
    <r>
      <rPr>
        <sz val="8"/>
        <rFont val="Arial"/>
        <family val="2"/>
      </rPr>
      <t xml:space="preserve">;   </t>
    </r>
    <r>
      <rPr>
        <i/>
        <sz val="8"/>
        <rFont val="Arial"/>
        <family val="2"/>
      </rPr>
      <t>a</t>
    </r>
    <r>
      <rPr>
        <vertAlign val="subscript"/>
        <sz val="8"/>
        <rFont val="Arial"/>
        <family val="2"/>
      </rPr>
      <t>3</t>
    </r>
  </si>
  <si>
    <r>
      <t>M</t>
    </r>
    <r>
      <rPr>
        <vertAlign val="subscript"/>
        <sz val="8"/>
        <rFont val="Arial"/>
        <family val="2"/>
      </rPr>
      <t>w</t>
    </r>
  </si>
  <si>
    <r>
      <t>M</t>
    </r>
    <r>
      <rPr>
        <vertAlign val="subscript"/>
        <sz val="8"/>
        <rFont val="Arial"/>
        <family val="2"/>
      </rPr>
      <t>W,max</t>
    </r>
    <r>
      <rPr>
        <sz val="8"/>
        <rFont val="Arial"/>
        <family val="2"/>
      </rPr>
      <t xml:space="preserve">    </t>
    </r>
    <r>
      <rPr>
        <sz val="8"/>
        <color indexed="48"/>
        <rFont val="Arial"/>
        <family val="2"/>
      </rPr>
      <t xml:space="preserve"> (8)</t>
    </r>
  </si>
  <si>
    <r>
      <t>σ</t>
    </r>
    <r>
      <rPr>
        <vertAlign val="subscript"/>
        <sz val="8"/>
        <rFont val="Arial"/>
        <family val="2"/>
      </rPr>
      <t>w</t>
    </r>
    <r>
      <rPr>
        <sz val="8"/>
        <rFont val="Arial"/>
        <family val="2"/>
      </rPr>
      <t xml:space="preserve">     </t>
    </r>
    <r>
      <rPr>
        <sz val="8"/>
        <color indexed="48"/>
        <rFont val="Arial"/>
        <family val="2"/>
      </rPr>
      <t>(7)</t>
    </r>
  </si>
  <si>
    <t>Maximale Biegespannung im Fußbereich</t>
  </si>
  <si>
    <t>Beanspruch. d. Schnee, DIN 1055 / 5</t>
  </si>
  <si>
    <r>
      <t>k</t>
    </r>
    <r>
      <rPr>
        <vertAlign val="subscript"/>
        <sz val="8"/>
        <rFont val="Arial"/>
        <family val="2"/>
      </rPr>
      <t>s (−)</t>
    </r>
    <r>
      <rPr>
        <sz val="8"/>
        <rFont val="Arial"/>
        <family val="2"/>
      </rPr>
      <t xml:space="preserve">,   </t>
    </r>
    <r>
      <rPr>
        <i/>
        <sz val="8"/>
        <rFont val="Arial"/>
        <family val="2"/>
      </rPr>
      <t>p</t>
    </r>
    <r>
      <rPr>
        <vertAlign val="subscript"/>
        <sz val="8"/>
        <rFont val="Arial"/>
        <family val="2"/>
      </rPr>
      <t>s</t>
    </r>
  </si>
  <si>
    <r>
      <t xml:space="preserve">δ  </t>
    </r>
    <r>
      <rPr>
        <sz val="8"/>
        <color indexed="48"/>
        <rFont val="Arial"/>
        <family val="2"/>
      </rPr>
      <t>(10)</t>
    </r>
    <r>
      <rPr>
        <sz val="8"/>
        <rFont val="Arial"/>
        <family val="2"/>
      </rPr>
      <t xml:space="preserve">   </t>
    </r>
    <r>
      <rPr>
        <i/>
        <sz val="8"/>
        <rFont val="Arial"/>
        <family val="2"/>
      </rPr>
      <t>S</t>
    </r>
    <r>
      <rPr>
        <vertAlign val="subscript"/>
        <sz val="8"/>
        <rFont val="Arial"/>
        <family val="2"/>
      </rPr>
      <t>zm</t>
    </r>
    <r>
      <rPr>
        <sz val="8"/>
        <rFont val="Arial"/>
        <family val="2"/>
      </rPr>
      <t xml:space="preserve">  </t>
    </r>
    <r>
      <rPr>
        <sz val="8"/>
        <color indexed="48"/>
        <rFont val="Arial"/>
        <family val="2"/>
      </rPr>
      <t>(11)</t>
    </r>
  </si>
  <si>
    <r>
      <t>Σ G</t>
    </r>
    <r>
      <rPr>
        <vertAlign val="subscript"/>
        <sz val="8"/>
        <rFont val="Arial"/>
        <family val="2"/>
      </rPr>
      <t>Beh.</t>
    </r>
    <r>
      <rPr>
        <sz val="8"/>
        <rFont val="Arial"/>
        <family val="2"/>
      </rPr>
      <t>+ F</t>
    </r>
    <r>
      <rPr>
        <vertAlign val="subscript"/>
        <sz val="8"/>
        <rFont val="Arial"/>
        <family val="2"/>
      </rPr>
      <t>ü</t>
    </r>
  </si>
  <si>
    <r>
      <t>p</t>
    </r>
    <r>
      <rPr>
        <vertAlign val="subscript"/>
        <sz val="8"/>
        <rFont val="Arial"/>
        <family val="2"/>
      </rPr>
      <t>eu</t>
    </r>
    <r>
      <rPr>
        <sz val="8"/>
        <rFont val="Arial"/>
        <family val="2"/>
      </rPr>
      <t xml:space="preserve">     </t>
    </r>
    <r>
      <rPr>
        <sz val="8"/>
        <color indexed="48"/>
        <rFont val="Arial"/>
        <family val="2"/>
      </rPr>
      <t xml:space="preserve"> (9 )</t>
    </r>
  </si>
  <si>
    <t>Unterdruck d.Windsog  3.3.5</t>
  </si>
  <si>
    <r>
      <t>p</t>
    </r>
    <r>
      <rPr>
        <vertAlign val="subscript"/>
        <sz val="8"/>
        <rFont val="Arial"/>
        <family val="2"/>
      </rPr>
      <t>u,s</t>
    </r>
    <r>
      <rPr>
        <sz val="8"/>
        <rFont val="Arial"/>
        <family val="2"/>
      </rPr>
      <t xml:space="preserve"> </t>
    </r>
    <r>
      <rPr>
        <sz val="8"/>
        <color indexed="48"/>
        <rFont val="Arial"/>
        <family val="2"/>
      </rPr>
      <t xml:space="preserve">     (12 )</t>
    </r>
  </si>
  <si>
    <t>Bemessungswert der vorh. Spannung</t>
  </si>
  <si>
    <r>
      <t>σ</t>
    </r>
    <r>
      <rPr>
        <vertAlign val="subscript"/>
        <sz val="8"/>
        <rFont val="Arial"/>
        <family val="2"/>
      </rPr>
      <t>L,M,d,vorh</t>
    </r>
    <r>
      <rPr>
        <sz val="8"/>
        <rFont val="Arial"/>
        <family val="2"/>
      </rPr>
      <t xml:space="preserve">  </t>
    </r>
    <r>
      <rPr>
        <sz val="8"/>
        <color indexed="48"/>
        <rFont val="Arial"/>
        <family val="2"/>
      </rPr>
      <t xml:space="preserve"> (14)</t>
    </r>
  </si>
  <si>
    <r>
      <t>K</t>
    </r>
    <r>
      <rPr>
        <vertAlign val="subscript"/>
        <sz val="8"/>
        <rFont val="Arial"/>
        <family val="2"/>
      </rPr>
      <t>L,d,vorh</t>
    </r>
  </si>
  <si>
    <r>
      <t>K</t>
    </r>
    <r>
      <rPr>
        <vertAlign val="subscript"/>
        <sz val="8"/>
        <rFont val="Arial"/>
        <family val="2"/>
      </rPr>
      <t>L,d,vorh</t>
    </r>
    <r>
      <rPr>
        <sz val="8"/>
        <rFont val="Arial"/>
        <family val="2"/>
      </rPr>
      <t xml:space="preserve"> / K*</t>
    </r>
    <r>
      <rPr>
        <vertAlign val="subscript"/>
        <sz val="8"/>
        <rFont val="Arial"/>
        <family val="2"/>
      </rPr>
      <t>L,d</t>
    </r>
    <r>
      <rPr>
        <sz val="8"/>
        <rFont val="Arial"/>
        <family val="2"/>
      </rPr>
      <t xml:space="preserve">  ≤ 1</t>
    </r>
  </si>
  <si>
    <r>
      <t>σ</t>
    </r>
    <r>
      <rPr>
        <vertAlign val="subscript"/>
        <sz val="8"/>
        <rFont val="Arial"/>
        <family val="2"/>
      </rPr>
      <t>K,d,vorh</t>
    </r>
  </si>
  <si>
    <r>
      <t>K</t>
    </r>
    <r>
      <rPr>
        <vertAlign val="subscript"/>
        <sz val="8"/>
        <rFont val="Arial"/>
        <family val="2"/>
      </rPr>
      <t>K,d,vorh</t>
    </r>
  </si>
  <si>
    <r>
      <t>K</t>
    </r>
    <r>
      <rPr>
        <vertAlign val="subscript"/>
        <sz val="8"/>
        <rFont val="Arial"/>
        <family val="2"/>
      </rPr>
      <t>K,d,vorh</t>
    </r>
    <r>
      <rPr>
        <sz val="8"/>
        <rFont val="Arial"/>
        <family val="2"/>
      </rPr>
      <t xml:space="preserve"> / K*</t>
    </r>
    <r>
      <rPr>
        <vertAlign val="subscript"/>
        <sz val="8"/>
        <rFont val="Arial"/>
        <family val="2"/>
      </rPr>
      <t>K,d</t>
    </r>
    <r>
      <rPr>
        <sz val="8"/>
        <rFont val="Arial"/>
        <family val="2"/>
      </rPr>
      <t xml:space="preserve">  ≤ 1</t>
    </r>
  </si>
  <si>
    <t>Zylinder- Längsspannung  DVS 2205-2 / Pkt. 4.1.3.2</t>
  </si>
  <si>
    <r>
      <t>K</t>
    </r>
    <r>
      <rPr>
        <vertAlign val="subscript"/>
        <sz val="8"/>
        <rFont val="Arial"/>
        <family val="2"/>
      </rPr>
      <t>L,d,vorh</t>
    </r>
    <r>
      <rPr>
        <sz val="8"/>
        <rFont val="Arial"/>
        <family val="2"/>
      </rPr>
      <t xml:space="preserve">   </t>
    </r>
    <r>
      <rPr>
        <sz val="8"/>
        <color indexed="48"/>
        <rFont val="Arial"/>
        <family val="2"/>
      </rPr>
      <t>(19)</t>
    </r>
  </si>
  <si>
    <r>
      <t>K</t>
    </r>
    <r>
      <rPr>
        <vertAlign val="subscript"/>
        <sz val="8"/>
        <rFont val="Arial"/>
        <family val="2"/>
      </rPr>
      <t>M,d,vorh</t>
    </r>
    <r>
      <rPr>
        <sz val="8"/>
        <rFont val="Arial"/>
        <family val="2"/>
      </rPr>
      <t xml:space="preserve">   </t>
    </r>
    <r>
      <rPr>
        <sz val="8"/>
        <color indexed="48"/>
        <rFont val="Arial"/>
        <family val="2"/>
      </rPr>
      <t>(21)</t>
    </r>
  </si>
  <si>
    <r>
      <t>K</t>
    </r>
    <r>
      <rPr>
        <vertAlign val="subscript"/>
        <sz val="8"/>
        <rFont val="Arial"/>
        <family val="2"/>
      </rPr>
      <t>M,d,vorh</t>
    </r>
    <r>
      <rPr>
        <sz val="8"/>
        <rFont val="Arial"/>
        <family val="2"/>
      </rPr>
      <t xml:space="preserve"> / K*</t>
    </r>
    <r>
      <rPr>
        <vertAlign val="subscript"/>
        <sz val="8"/>
        <rFont val="Arial"/>
        <family val="2"/>
      </rPr>
      <t>M,d</t>
    </r>
    <r>
      <rPr>
        <sz val="8"/>
        <rFont val="Arial"/>
        <family val="2"/>
      </rPr>
      <t xml:space="preserve">  ≤ 1</t>
    </r>
  </si>
  <si>
    <t>Statisch erforderliche Zylinderdicke</t>
  </si>
  <si>
    <r>
      <t>S*</t>
    </r>
    <r>
      <rPr>
        <vertAlign val="subscript"/>
        <sz val="8"/>
        <rFont val="Arial"/>
        <family val="2"/>
      </rPr>
      <t>ZF</t>
    </r>
    <r>
      <rPr>
        <sz val="8"/>
        <rFont val="Arial"/>
        <family val="2"/>
      </rPr>
      <t xml:space="preserve">  </t>
    </r>
    <r>
      <rPr>
        <sz val="8"/>
        <color indexed="48"/>
        <rFont val="Arial"/>
        <family val="2"/>
      </rPr>
      <t xml:space="preserve"> (22)</t>
    </r>
  </si>
  <si>
    <r>
      <t>Boden</t>
    </r>
    <r>
      <rPr>
        <sz val="8"/>
        <rFont val="Arial"/>
        <family val="2"/>
      </rPr>
      <t>: Beiwerte gemäß Bild 8</t>
    </r>
  </si>
  <si>
    <r>
      <t>d</t>
    </r>
    <r>
      <rPr>
        <vertAlign val="subscript"/>
        <sz val="8"/>
        <rFont val="Arial"/>
        <family val="2"/>
      </rPr>
      <t>i</t>
    </r>
    <r>
      <rPr>
        <sz val="8"/>
        <rFont val="Arial"/>
        <family val="2"/>
      </rPr>
      <t xml:space="preserve"> / </t>
    </r>
    <r>
      <rPr>
        <i/>
        <sz val="8"/>
        <rFont val="Arial"/>
        <family val="2"/>
      </rPr>
      <t>S*</t>
    </r>
    <r>
      <rPr>
        <vertAlign val="subscript"/>
        <sz val="8"/>
        <rFont val="Arial"/>
        <family val="2"/>
      </rPr>
      <t>ZF</t>
    </r>
  </si>
  <si>
    <r>
      <t>δ∙S*</t>
    </r>
    <r>
      <rPr>
        <vertAlign val="subscript"/>
        <sz val="8"/>
        <rFont val="Arial"/>
        <family val="2"/>
      </rPr>
      <t>ZF</t>
    </r>
    <r>
      <rPr>
        <sz val="8"/>
        <rFont val="Arial"/>
        <family val="2"/>
      </rPr>
      <t xml:space="preserve"> ≤ </t>
    </r>
    <r>
      <rPr>
        <i/>
        <sz val="8"/>
        <rFont val="Arial"/>
        <family val="2"/>
      </rPr>
      <t>S</t>
    </r>
    <r>
      <rPr>
        <vertAlign val="subscript"/>
        <sz val="8"/>
        <rFont val="Arial"/>
        <family val="2"/>
      </rPr>
      <t>B</t>
    </r>
    <r>
      <rPr>
        <sz val="8"/>
        <rFont val="Arial"/>
        <family val="2"/>
      </rPr>
      <t xml:space="preserve"> ≤ S</t>
    </r>
    <r>
      <rPr>
        <vertAlign val="subscript"/>
        <sz val="8"/>
        <rFont val="Arial"/>
        <family val="2"/>
      </rPr>
      <t>Z</t>
    </r>
  </si>
  <si>
    <r>
      <t>Festigkeitsnachweis Kegeldach</t>
    </r>
    <r>
      <rPr>
        <b/>
        <sz val="9"/>
        <rFont val="Arial"/>
        <family val="2"/>
      </rPr>
      <t>:  für nach innen gerichtete Belastungen nach 4.1.6.1</t>
    </r>
  </si>
  <si>
    <r>
      <t>Tabelle : Wirksame Belastungen des Daches für nach innen gerichtete Lasten,  Lastangaben in N / mm</t>
    </r>
    <r>
      <rPr>
        <i/>
        <vertAlign val="superscript"/>
        <sz val="8"/>
        <rFont val="Arial"/>
        <family val="2"/>
      </rPr>
      <t>2</t>
    </r>
  </si>
  <si>
    <r>
      <t>P</t>
    </r>
    <r>
      <rPr>
        <vertAlign val="subscript"/>
        <sz val="8"/>
        <color indexed="12"/>
        <rFont val="Arial"/>
        <family val="2"/>
      </rPr>
      <t>DL,d</t>
    </r>
  </si>
  <si>
    <r>
      <t>P</t>
    </r>
    <r>
      <rPr>
        <vertAlign val="subscript"/>
        <sz val="8"/>
        <color indexed="12"/>
        <rFont val="Arial"/>
        <family val="2"/>
      </rPr>
      <t>DM,d</t>
    </r>
  </si>
  <si>
    <r>
      <t>Σ P</t>
    </r>
    <r>
      <rPr>
        <vertAlign val="subscript"/>
        <sz val="8"/>
        <color indexed="12"/>
        <rFont val="Arial"/>
        <family val="2"/>
      </rPr>
      <t>DK,d</t>
    </r>
  </si>
  <si>
    <r>
      <t>K</t>
    </r>
    <r>
      <rPr>
        <vertAlign val="subscript"/>
        <sz val="8"/>
        <color indexed="12"/>
        <rFont val="Arial"/>
        <family val="2"/>
      </rPr>
      <t>L,d,vorh</t>
    </r>
    <r>
      <rPr>
        <sz val="8"/>
        <color indexed="12"/>
        <rFont val="Arial"/>
        <family val="2"/>
      </rPr>
      <t xml:space="preserve">   (27)</t>
    </r>
  </si>
  <si>
    <r>
      <t>K</t>
    </r>
    <r>
      <rPr>
        <vertAlign val="subscript"/>
        <sz val="8"/>
        <color indexed="12"/>
        <rFont val="Arial"/>
        <family val="2"/>
      </rPr>
      <t>M,d,vorh</t>
    </r>
    <r>
      <rPr>
        <sz val="8"/>
        <color indexed="12"/>
        <rFont val="Arial"/>
        <family val="2"/>
      </rPr>
      <t xml:space="preserve">   (28)</t>
    </r>
  </si>
  <si>
    <r>
      <t>K</t>
    </r>
    <r>
      <rPr>
        <vertAlign val="subscript"/>
        <sz val="9"/>
        <color indexed="12"/>
        <rFont val="Arial"/>
        <family val="2"/>
      </rPr>
      <t>k,d,vorh</t>
    </r>
    <r>
      <rPr>
        <sz val="9"/>
        <color indexed="12"/>
        <rFont val="Arial"/>
        <family val="2"/>
      </rPr>
      <t xml:space="preserve">   (29)</t>
    </r>
  </si>
  <si>
    <r>
      <t xml:space="preserve"> (K</t>
    </r>
    <r>
      <rPr>
        <vertAlign val="subscript"/>
        <sz val="8"/>
        <color indexed="12"/>
        <rFont val="Arial"/>
        <family val="2"/>
      </rPr>
      <t>L,d,vorh</t>
    </r>
    <r>
      <rPr>
        <sz val="8"/>
        <color indexed="12"/>
        <rFont val="Arial"/>
        <family val="2"/>
      </rPr>
      <t xml:space="preserve"> / K*</t>
    </r>
    <r>
      <rPr>
        <vertAlign val="subscript"/>
        <sz val="8"/>
        <color indexed="12"/>
        <rFont val="Arial"/>
        <family val="2"/>
      </rPr>
      <t>L,d</t>
    </r>
    <r>
      <rPr>
        <sz val="8"/>
        <color indexed="12"/>
        <rFont val="Arial"/>
        <family val="2"/>
      </rPr>
      <t>) + (K</t>
    </r>
    <r>
      <rPr>
        <vertAlign val="subscript"/>
        <sz val="8"/>
        <color indexed="12"/>
        <rFont val="Arial"/>
        <family val="2"/>
      </rPr>
      <t>M,d,vorh</t>
    </r>
    <r>
      <rPr>
        <sz val="8"/>
        <color indexed="12"/>
        <rFont val="Arial"/>
        <family val="2"/>
      </rPr>
      <t xml:space="preserve"> / K*</t>
    </r>
    <r>
      <rPr>
        <vertAlign val="subscript"/>
        <sz val="8"/>
        <color indexed="12"/>
        <rFont val="Arial"/>
        <family val="2"/>
      </rPr>
      <t>M,d)</t>
    </r>
    <r>
      <rPr>
        <sz val="8"/>
        <color indexed="12"/>
        <rFont val="Arial"/>
        <family val="2"/>
      </rPr>
      <t xml:space="preserve">  und (Σ K</t>
    </r>
    <r>
      <rPr>
        <vertAlign val="subscript"/>
        <sz val="8"/>
        <color indexed="12"/>
        <rFont val="Arial"/>
        <family val="2"/>
      </rPr>
      <t>K,d,vorh</t>
    </r>
    <r>
      <rPr>
        <sz val="8"/>
        <color indexed="12"/>
        <rFont val="Arial"/>
        <family val="2"/>
      </rPr>
      <t xml:space="preserve"> / K*</t>
    </r>
    <r>
      <rPr>
        <vertAlign val="subscript"/>
        <sz val="8"/>
        <color indexed="12"/>
        <rFont val="Arial"/>
        <family val="2"/>
      </rPr>
      <t>K,d</t>
    </r>
    <r>
      <rPr>
        <sz val="8"/>
        <color indexed="12"/>
        <rFont val="Arial"/>
        <family val="2"/>
      </rPr>
      <t>)</t>
    </r>
  </si>
  <si>
    <r>
      <t>Festigkeitsnachweis Kegeldach</t>
    </r>
    <r>
      <rPr>
        <b/>
        <sz val="9"/>
        <rFont val="Arial"/>
        <family val="2"/>
      </rPr>
      <t>:  für nach außen gerichtete Belastungen nach 4.1.6.2</t>
    </r>
  </si>
  <si>
    <r>
      <t>Tabelle : Wirksame Belastungen des Daches für nach außen gerichtete Lasten,  Lastangaben in N / mm</t>
    </r>
    <r>
      <rPr>
        <i/>
        <vertAlign val="superscript"/>
        <sz val="8"/>
        <rFont val="Arial"/>
        <family val="2"/>
      </rPr>
      <t>2</t>
    </r>
  </si>
  <si>
    <r>
      <t>K</t>
    </r>
    <r>
      <rPr>
        <vertAlign val="subscript"/>
        <sz val="8"/>
        <color indexed="12"/>
        <rFont val="Arial"/>
        <family val="2"/>
      </rPr>
      <t>k,d,vorh</t>
    </r>
    <r>
      <rPr>
        <sz val="8"/>
        <color indexed="12"/>
        <rFont val="Arial"/>
        <family val="2"/>
      </rPr>
      <t xml:space="preserve">   (29)</t>
    </r>
  </si>
  <si>
    <r>
      <t xml:space="preserve"> (K</t>
    </r>
    <r>
      <rPr>
        <vertAlign val="subscript"/>
        <sz val="8"/>
        <color indexed="12"/>
        <rFont val="Arial"/>
        <family val="2"/>
      </rPr>
      <t>L,d,vor</t>
    </r>
    <r>
      <rPr>
        <sz val="8"/>
        <color indexed="12"/>
        <rFont val="Arial"/>
        <family val="2"/>
      </rPr>
      <t xml:space="preserve"> / K*</t>
    </r>
    <r>
      <rPr>
        <vertAlign val="subscript"/>
        <sz val="8"/>
        <color indexed="12"/>
        <rFont val="Arial"/>
        <family val="2"/>
      </rPr>
      <t>L,d</t>
    </r>
    <r>
      <rPr>
        <sz val="8"/>
        <color indexed="12"/>
        <rFont val="Arial"/>
        <family val="2"/>
      </rPr>
      <t>) + (K</t>
    </r>
    <r>
      <rPr>
        <vertAlign val="subscript"/>
        <sz val="8"/>
        <color indexed="12"/>
        <rFont val="Arial"/>
        <family val="2"/>
      </rPr>
      <t>M,d,vor</t>
    </r>
    <r>
      <rPr>
        <sz val="8"/>
        <color indexed="12"/>
        <rFont val="Arial"/>
        <family val="2"/>
      </rPr>
      <t xml:space="preserve"> / K*</t>
    </r>
    <r>
      <rPr>
        <vertAlign val="subscript"/>
        <sz val="8"/>
        <color indexed="12"/>
        <rFont val="Arial"/>
        <family val="2"/>
      </rPr>
      <t>M,d</t>
    </r>
    <r>
      <rPr>
        <sz val="8"/>
        <color indexed="12"/>
        <rFont val="Arial"/>
        <family val="2"/>
      </rPr>
      <t xml:space="preserve">) </t>
    </r>
    <r>
      <rPr>
        <i/>
        <sz val="8"/>
        <color indexed="12"/>
        <rFont val="Arial"/>
        <family val="2"/>
      </rPr>
      <t xml:space="preserve"> und </t>
    </r>
    <r>
      <rPr>
        <sz val="8"/>
        <color indexed="12"/>
        <rFont val="Arial"/>
        <family val="2"/>
      </rPr>
      <t xml:space="preserve">  (Σ K</t>
    </r>
    <r>
      <rPr>
        <vertAlign val="subscript"/>
        <sz val="8"/>
        <color indexed="12"/>
        <rFont val="Arial"/>
        <family val="2"/>
      </rPr>
      <t>K,d,vorh</t>
    </r>
    <r>
      <rPr>
        <sz val="8"/>
        <color indexed="12"/>
        <rFont val="Arial"/>
        <family val="2"/>
      </rPr>
      <t xml:space="preserve"> / K*</t>
    </r>
    <r>
      <rPr>
        <vertAlign val="subscript"/>
        <sz val="8"/>
        <color indexed="12"/>
        <rFont val="Arial"/>
        <family val="2"/>
      </rPr>
      <t>K,d</t>
    </r>
    <r>
      <rPr>
        <sz val="8"/>
        <color indexed="12"/>
        <rFont val="Arial"/>
        <family val="2"/>
      </rPr>
      <t>)</t>
    </r>
  </si>
  <si>
    <t>Stabilitätsnachweis des Zylinders gegen Beulen bei kritischen Lastkombinationen Pkt 4.2</t>
  </si>
  <si>
    <t>Elastizitätsmodul, Werte nach Tab. 8</t>
  </si>
  <si>
    <r>
      <t>E- Modul für :  0 °C /  T</t>
    </r>
    <r>
      <rPr>
        <vertAlign val="subscript"/>
        <sz val="8"/>
        <rFont val="Arial"/>
        <family val="2"/>
      </rPr>
      <t>M</t>
    </r>
    <r>
      <rPr>
        <sz val="8"/>
        <rFont val="Arial"/>
        <family val="2"/>
      </rPr>
      <t xml:space="preserve"> °C /  50 °C</t>
    </r>
  </si>
  <si>
    <r>
      <t>E</t>
    </r>
    <r>
      <rPr>
        <vertAlign val="subscript"/>
        <sz val="8"/>
        <rFont val="Arial"/>
        <family val="2"/>
      </rPr>
      <t>K,20°</t>
    </r>
    <r>
      <rPr>
        <sz val="8"/>
        <rFont val="Arial"/>
        <family val="2"/>
      </rPr>
      <t xml:space="preserve">          E</t>
    </r>
    <r>
      <rPr>
        <vertAlign val="subscript"/>
        <sz val="8"/>
        <rFont val="Arial"/>
        <family val="2"/>
      </rPr>
      <t>L,20°</t>
    </r>
  </si>
  <si>
    <r>
      <t>E</t>
    </r>
    <r>
      <rPr>
        <vertAlign val="subscript"/>
        <sz val="8"/>
        <rFont val="Arial"/>
        <family val="2"/>
      </rPr>
      <t>K,0</t>
    </r>
    <r>
      <rPr>
        <sz val="8"/>
        <rFont val="Arial"/>
        <family val="2"/>
      </rPr>
      <t xml:space="preserve"> / E</t>
    </r>
    <r>
      <rPr>
        <vertAlign val="subscript"/>
        <sz val="8"/>
        <rFont val="Arial"/>
        <family val="2"/>
      </rPr>
      <t>K,t</t>
    </r>
    <r>
      <rPr>
        <sz val="8"/>
        <rFont val="Arial"/>
        <family val="2"/>
      </rPr>
      <t xml:space="preserve"> / E</t>
    </r>
    <r>
      <rPr>
        <vertAlign val="subscript"/>
        <sz val="8"/>
        <rFont val="Arial"/>
        <family val="2"/>
      </rPr>
      <t>K,50</t>
    </r>
  </si>
  <si>
    <t>Wirksame Druckfäche Zylinderschuss</t>
  </si>
  <si>
    <r>
      <t>A</t>
    </r>
    <r>
      <rPr>
        <vertAlign val="subscript"/>
        <sz val="8"/>
        <rFont val="Arial"/>
        <family val="2"/>
      </rPr>
      <t>F</t>
    </r>
  </si>
  <si>
    <r>
      <t>σ</t>
    </r>
    <r>
      <rPr>
        <vertAlign val="subscript"/>
        <sz val="8"/>
        <rFont val="Arial"/>
        <family val="2"/>
      </rPr>
      <t>GE</t>
    </r>
    <r>
      <rPr>
        <sz val="8"/>
        <rFont val="Arial"/>
        <family val="2"/>
      </rPr>
      <t xml:space="preserve"> = Σ G / A</t>
    </r>
    <r>
      <rPr>
        <vertAlign val="subscript"/>
        <sz val="8"/>
        <rFont val="Arial"/>
        <family val="2"/>
      </rPr>
      <t>Z,i</t>
    </r>
  </si>
  <si>
    <r>
      <t>A</t>
    </r>
    <r>
      <rPr>
        <vertAlign val="subscript"/>
        <sz val="8"/>
        <rFont val="Arial"/>
        <family val="2"/>
      </rPr>
      <t>D</t>
    </r>
  </si>
  <si>
    <t>Wirksame Dachkraft aus Unterdruck</t>
  </si>
  <si>
    <r>
      <t>F</t>
    </r>
    <r>
      <rPr>
        <vertAlign val="subscript"/>
        <sz val="8"/>
        <rFont val="Arial"/>
        <family val="2"/>
      </rPr>
      <t>u,K</t>
    </r>
    <r>
      <rPr>
        <sz val="8"/>
        <rFont val="Arial"/>
        <family val="2"/>
      </rPr>
      <t xml:space="preserve"> ;      F</t>
    </r>
    <r>
      <rPr>
        <vertAlign val="subscript"/>
        <sz val="8"/>
        <rFont val="Arial"/>
        <family val="2"/>
      </rPr>
      <t>u,Sog</t>
    </r>
    <r>
      <rPr>
        <sz val="8"/>
        <rFont val="Arial"/>
        <family val="2"/>
      </rPr>
      <t xml:space="preserve"> </t>
    </r>
  </si>
  <si>
    <r>
      <t>σ</t>
    </r>
    <r>
      <rPr>
        <vertAlign val="subscript"/>
        <sz val="8"/>
        <rFont val="Arial"/>
        <family val="2"/>
      </rPr>
      <t>PuK</t>
    </r>
    <r>
      <rPr>
        <sz val="8"/>
        <rFont val="Arial"/>
        <family val="2"/>
      </rPr>
      <t>,     σ</t>
    </r>
    <r>
      <rPr>
        <vertAlign val="subscript"/>
        <sz val="8"/>
        <rFont val="Arial"/>
        <family val="2"/>
      </rPr>
      <t>PuS</t>
    </r>
  </si>
  <si>
    <t>Axial-Zyl. Drucksp. aus Dachbelastung</t>
  </si>
  <si>
    <t>Maximale axiale Zylinderdruckspannung</t>
  </si>
  <si>
    <r>
      <t>σ</t>
    </r>
    <r>
      <rPr>
        <vertAlign val="subscript"/>
        <sz val="8"/>
        <rFont val="Arial"/>
        <family val="2"/>
      </rPr>
      <t>GE,max</t>
    </r>
  </si>
  <si>
    <r>
      <t xml:space="preserve">Axialstabilität  4.2.2.1  </t>
    </r>
    <r>
      <rPr>
        <sz val="8"/>
        <rFont val="Arial"/>
        <family val="2"/>
      </rPr>
      <t>(Unrundheit des Zylinder  U ≤ 0,5 %)</t>
    </r>
  </si>
  <si>
    <t>Axiale Druckspannung: Außenaufstellung</t>
  </si>
  <si>
    <r>
      <t xml:space="preserve">Σ </t>
    </r>
    <r>
      <rPr>
        <i/>
        <sz val="8"/>
        <rFont val="Arial"/>
        <family val="2"/>
      </rPr>
      <t>σ</t>
    </r>
    <r>
      <rPr>
        <vertAlign val="subscript"/>
        <sz val="8"/>
        <rFont val="Arial"/>
        <family val="2"/>
      </rPr>
      <t>i,d,vorh</t>
    </r>
    <r>
      <rPr>
        <sz val="8"/>
        <rFont val="Arial"/>
        <family val="2"/>
      </rPr>
      <t xml:space="preserve">  </t>
    </r>
    <r>
      <rPr>
        <sz val="8"/>
        <color indexed="48"/>
        <rFont val="Arial"/>
        <family val="2"/>
      </rPr>
      <t xml:space="preserve"> (45)</t>
    </r>
  </si>
  <si>
    <t>Axiale Druckspannung: Innenaufstellung</t>
  </si>
  <si>
    <r>
      <t xml:space="preserve">Σ </t>
    </r>
    <r>
      <rPr>
        <i/>
        <sz val="8"/>
        <rFont val="Arial"/>
        <family val="2"/>
      </rPr>
      <t>σ</t>
    </r>
    <r>
      <rPr>
        <vertAlign val="subscript"/>
        <sz val="8"/>
        <rFont val="Arial"/>
        <family val="2"/>
      </rPr>
      <t>i,d,vorh</t>
    </r>
    <r>
      <rPr>
        <sz val="8"/>
        <rFont val="Arial"/>
        <family val="2"/>
      </rPr>
      <t xml:space="preserve">   </t>
    </r>
    <r>
      <rPr>
        <sz val="8"/>
        <color indexed="48"/>
        <rFont val="Arial"/>
        <family val="2"/>
      </rPr>
      <t>(46)</t>
    </r>
  </si>
  <si>
    <r>
      <t>α</t>
    </r>
    <r>
      <rPr>
        <vertAlign val="subscript"/>
        <sz val="8"/>
        <rFont val="Arial"/>
        <family val="2"/>
      </rPr>
      <t>i</t>
    </r>
    <r>
      <rPr>
        <sz val="8"/>
        <rFont val="Arial"/>
        <family val="2"/>
      </rPr>
      <t xml:space="preserve">   </t>
    </r>
    <r>
      <rPr>
        <sz val="8"/>
        <color indexed="48"/>
        <rFont val="Arial"/>
        <family val="2"/>
      </rPr>
      <t>(48a)</t>
    </r>
  </si>
  <si>
    <r>
      <t>min (</t>
    </r>
    <r>
      <rPr>
        <i/>
        <sz val="8"/>
        <rFont val="Arial"/>
        <family val="2"/>
      </rPr>
      <t>σ</t>
    </r>
    <r>
      <rPr>
        <vertAlign val="subscript"/>
        <sz val="8"/>
        <rFont val="Arial"/>
        <family val="2"/>
      </rPr>
      <t>k,i,d</t>
    </r>
    <r>
      <rPr>
        <sz val="8"/>
        <rFont val="Arial"/>
        <family val="2"/>
      </rPr>
      <t xml:space="preserve">; </t>
    </r>
    <r>
      <rPr>
        <i/>
        <sz val="8"/>
        <rFont val="Arial"/>
        <family val="2"/>
      </rPr>
      <t>K</t>
    </r>
    <r>
      <rPr>
        <sz val="8"/>
        <rFont val="Arial"/>
        <family val="2"/>
      </rPr>
      <t>*</t>
    </r>
    <r>
      <rPr>
        <vertAlign val="subscript"/>
        <sz val="8"/>
        <rFont val="Arial"/>
        <family val="2"/>
      </rPr>
      <t>K,d</t>
    </r>
    <r>
      <rPr>
        <sz val="8"/>
        <rFont val="Arial"/>
        <family val="2"/>
      </rPr>
      <t xml:space="preserve"> )</t>
    </r>
  </si>
  <si>
    <r>
      <t>η</t>
    </r>
    <r>
      <rPr>
        <vertAlign val="subscript"/>
        <sz val="8"/>
        <rFont val="Arial"/>
        <family val="2"/>
      </rPr>
      <t>A,i</t>
    </r>
    <r>
      <rPr>
        <sz val="8"/>
        <rFont val="Arial"/>
        <family val="2"/>
      </rPr>
      <t xml:space="preserve">  ≤ 1   </t>
    </r>
    <r>
      <rPr>
        <sz val="8"/>
        <color indexed="48"/>
        <rFont val="Arial"/>
        <family val="2"/>
      </rPr>
      <t>(49)</t>
    </r>
  </si>
  <si>
    <t xml:space="preserve">Max. Unterdruck, Innen- /Außenaufstellung </t>
  </si>
  <si>
    <r>
      <t>Σ P</t>
    </r>
    <r>
      <rPr>
        <vertAlign val="subscript"/>
        <sz val="8"/>
        <rFont val="Arial"/>
        <family val="2"/>
      </rPr>
      <t>d,vorh</t>
    </r>
  </si>
  <si>
    <r>
      <t>P</t>
    </r>
    <r>
      <rPr>
        <vertAlign val="subscript"/>
        <sz val="8"/>
        <rFont val="Arial"/>
        <family val="2"/>
      </rPr>
      <t>KM,d</t>
    </r>
    <r>
      <rPr>
        <sz val="8"/>
        <rFont val="Arial"/>
        <family val="2"/>
      </rPr>
      <t xml:space="preserve">    </t>
    </r>
    <r>
      <rPr>
        <sz val="8"/>
        <color indexed="48"/>
        <rFont val="Arial"/>
        <family val="2"/>
      </rPr>
      <t>(51)</t>
    </r>
  </si>
  <si>
    <r>
      <t>η</t>
    </r>
    <r>
      <rPr>
        <vertAlign val="subscript"/>
        <sz val="8"/>
        <rFont val="Arial"/>
        <family val="2"/>
      </rPr>
      <t>M</t>
    </r>
    <r>
      <rPr>
        <sz val="8"/>
        <rFont val="Arial"/>
        <family val="2"/>
      </rPr>
      <t xml:space="preserve"> ≤1     </t>
    </r>
    <r>
      <rPr>
        <sz val="8"/>
        <color indexed="48"/>
        <rFont val="Arial"/>
        <family val="2"/>
      </rPr>
      <t>(50)</t>
    </r>
  </si>
  <si>
    <r>
      <t>Interaktion</t>
    </r>
    <r>
      <rPr>
        <sz val="8"/>
        <rFont val="Arial"/>
        <family val="2"/>
      </rPr>
      <t xml:space="preserve"> / Wechselwirkungen von</t>
    </r>
  </si>
  <si>
    <r>
      <t>(η</t>
    </r>
    <r>
      <rPr>
        <vertAlign val="subscript"/>
        <sz val="8"/>
        <rFont val="Arial"/>
        <family val="2"/>
      </rPr>
      <t>A,i</t>
    </r>
    <r>
      <rPr>
        <vertAlign val="superscript"/>
        <sz val="8"/>
        <rFont val="Arial"/>
        <family val="2"/>
      </rPr>
      <t xml:space="preserve">1,25 </t>
    </r>
    <r>
      <rPr>
        <sz val="8"/>
        <rFont val="Arial"/>
        <family val="2"/>
      </rPr>
      <t xml:space="preserve">+ </t>
    </r>
    <r>
      <rPr>
        <i/>
        <sz val="8"/>
        <rFont val="Arial"/>
        <family val="2"/>
      </rPr>
      <t>η</t>
    </r>
    <r>
      <rPr>
        <vertAlign val="subscript"/>
        <sz val="8"/>
        <rFont val="Arial"/>
        <family val="2"/>
      </rPr>
      <t>M</t>
    </r>
    <r>
      <rPr>
        <vertAlign val="superscript"/>
        <sz val="8"/>
        <rFont val="Arial"/>
        <family val="2"/>
      </rPr>
      <t>1,25</t>
    </r>
    <r>
      <rPr>
        <sz val="8"/>
        <rFont val="Arial"/>
        <family val="2"/>
      </rPr>
      <t>) ≤ 1</t>
    </r>
  </si>
  <si>
    <r>
      <t>∑ p</t>
    </r>
    <r>
      <rPr>
        <vertAlign val="subscript"/>
        <sz val="8"/>
        <rFont val="Arial"/>
        <family val="2"/>
      </rPr>
      <t>dvorh</t>
    </r>
  </si>
  <si>
    <r>
      <t>∑ σ</t>
    </r>
    <r>
      <rPr>
        <vertAlign val="subscript"/>
        <sz val="8"/>
        <rFont val="Arial"/>
        <family val="2"/>
      </rPr>
      <t>dvorh</t>
    </r>
  </si>
  <si>
    <r>
      <t>σ</t>
    </r>
    <r>
      <rPr>
        <vertAlign val="subscript"/>
        <sz val="8"/>
        <rFont val="Arial"/>
        <family val="2"/>
      </rPr>
      <t>k,d</t>
    </r>
  </si>
  <si>
    <r>
      <t xml:space="preserve">η ≤ 1    </t>
    </r>
    <r>
      <rPr>
        <sz val="8"/>
        <color indexed="48"/>
        <rFont val="Arial"/>
        <family val="2"/>
      </rPr>
      <t>(56)</t>
    </r>
  </si>
  <si>
    <t xml:space="preserve">       Die Bilder legen nicht die Konstruktion fest, sie dienen zur Angabe der für die Berechnung notwendigen Maße.</t>
  </si>
  <si>
    <r>
      <t xml:space="preserve"> A</t>
    </r>
    <r>
      <rPr>
        <sz val="9"/>
        <rFont val="Arial"/>
        <family val="2"/>
      </rPr>
      <t xml:space="preserve"> in Zylinderwand  </t>
    </r>
    <r>
      <rPr>
        <i/>
        <sz val="9"/>
        <rFont val="Arial"/>
        <family val="2"/>
      </rPr>
      <t>d</t>
    </r>
    <r>
      <rPr>
        <vertAlign val="subscript"/>
        <sz val="6.5"/>
        <rFont val="Arial"/>
        <family val="2"/>
      </rPr>
      <t>A</t>
    </r>
    <r>
      <rPr>
        <sz val="6.5"/>
        <rFont val="Arial"/>
        <family val="2"/>
      </rPr>
      <t xml:space="preserve"> </t>
    </r>
    <r>
      <rPr>
        <sz val="9"/>
        <rFont val="Arial"/>
        <family val="2"/>
      </rPr>
      <t>≤</t>
    </r>
    <r>
      <rPr>
        <sz val="8"/>
        <rFont val="Arial"/>
        <family val="2"/>
      </rPr>
      <t xml:space="preserve"> 160;  </t>
    </r>
    <r>
      <rPr>
        <i/>
        <sz val="8"/>
        <rFont val="Arial"/>
        <family val="2"/>
      </rPr>
      <t>S</t>
    </r>
    <r>
      <rPr>
        <sz val="8"/>
        <rFont val="Arial"/>
        <family val="2"/>
      </rPr>
      <t xml:space="preserve"> ≥ SDR11 (PN10)</t>
    </r>
  </si>
  <si>
    <r>
      <t>d</t>
    </r>
    <r>
      <rPr>
        <vertAlign val="subscript"/>
        <sz val="8"/>
        <rFont val="Arial"/>
        <family val="2"/>
      </rPr>
      <t>A</t>
    </r>
  </si>
  <si>
    <r>
      <t>h</t>
    </r>
    <r>
      <rPr>
        <vertAlign val="subscript"/>
        <sz val="8"/>
        <rFont val="Arial"/>
        <family val="2"/>
      </rPr>
      <t>1</t>
    </r>
  </si>
  <si>
    <r>
      <t xml:space="preserve"> B</t>
    </r>
    <r>
      <rPr>
        <sz val="8"/>
        <rFont val="Arial"/>
        <family val="2"/>
      </rPr>
      <t xml:space="preserve"> in Zylinderwand  </t>
    </r>
    <r>
      <rPr>
        <i/>
        <sz val="8"/>
        <rFont val="Arial"/>
        <family val="2"/>
      </rPr>
      <t>d</t>
    </r>
    <r>
      <rPr>
        <vertAlign val="subscript"/>
        <sz val="8"/>
        <rFont val="Arial"/>
        <family val="2"/>
      </rPr>
      <t>A</t>
    </r>
    <r>
      <rPr>
        <sz val="8"/>
        <rFont val="Arial"/>
        <family val="2"/>
      </rPr>
      <t xml:space="preserve"> ≤ 160;  </t>
    </r>
    <r>
      <rPr>
        <i/>
        <sz val="8"/>
        <rFont val="Arial"/>
        <family val="2"/>
      </rPr>
      <t>S</t>
    </r>
    <r>
      <rPr>
        <sz val="8"/>
        <rFont val="Arial"/>
        <family val="2"/>
      </rPr>
      <t xml:space="preserve"> ≥ SDR11 (PN10)</t>
    </r>
  </si>
  <si>
    <r>
      <t>h</t>
    </r>
    <r>
      <rPr>
        <vertAlign val="subscript"/>
        <sz val="8"/>
        <rFont val="Arial"/>
        <family val="2"/>
      </rPr>
      <t>2</t>
    </r>
  </si>
  <si>
    <r>
      <t xml:space="preserve"> C</t>
    </r>
    <r>
      <rPr>
        <sz val="8"/>
        <rFont val="Arial"/>
        <family val="2"/>
      </rPr>
      <t xml:space="preserve"> in Dach  </t>
    </r>
    <r>
      <rPr>
        <i/>
        <sz val="8"/>
        <rFont val="Arial"/>
        <family val="2"/>
      </rPr>
      <t>d</t>
    </r>
    <r>
      <rPr>
        <vertAlign val="subscript"/>
        <sz val="8"/>
        <rFont val="Arial"/>
        <family val="2"/>
      </rPr>
      <t>A</t>
    </r>
    <r>
      <rPr>
        <sz val="8"/>
        <rFont val="Arial"/>
        <family val="2"/>
      </rPr>
      <t xml:space="preserve">  ohne Begrenzung;  </t>
    </r>
    <r>
      <rPr>
        <i/>
        <sz val="8"/>
        <rFont val="Arial"/>
        <family val="2"/>
      </rPr>
      <t>S</t>
    </r>
    <r>
      <rPr>
        <sz val="8"/>
        <rFont val="Arial"/>
        <family val="2"/>
      </rPr>
      <t xml:space="preserve"> ≥ SDR11 (PN10)</t>
    </r>
  </si>
  <si>
    <r>
      <t>p</t>
    </r>
    <r>
      <rPr>
        <vertAlign val="subscript"/>
        <sz val="8"/>
        <color indexed="12"/>
        <rFont val="Arial"/>
        <family val="2"/>
      </rPr>
      <t>ü</t>
    </r>
    <r>
      <rPr>
        <sz val="8"/>
        <color indexed="12"/>
        <rFont val="Arial"/>
        <family val="2"/>
      </rPr>
      <t xml:space="preserve">,       </t>
    </r>
    <r>
      <rPr>
        <i/>
        <sz val="8"/>
        <color indexed="12"/>
        <rFont val="Arial"/>
        <family val="2"/>
      </rPr>
      <t>p</t>
    </r>
    <r>
      <rPr>
        <vertAlign val="subscript"/>
        <sz val="8"/>
        <color indexed="12"/>
        <rFont val="Arial"/>
        <family val="2"/>
      </rPr>
      <t>üK</t>
    </r>
  </si>
  <si>
    <r>
      <t>T</t>
    </r>
    <r>
      <rPr>
        <vertAlign val="subscript"/>
        <sz val="8"/>
        <color indexed="12"/>
        <rFont val="Arial"/>
        <family val="2"/>
      </rPr>
      <t>M</t>
    </r>
    <r>
      <rPr>
        <sz val="8"/>
        <color indexed="12"/>
        <rFont val="Arial"/>
        <family val="2"/>
      </rPr>
      <t>;    T</t>
    </r>
    <r>
      <rPr>
        <vertAlign val="subscript"/>
        <sz val="8"/>
        <color indexed="12"/>
        <rFont val="Arial"/>
        <family val="2"/>
      </rPr>
      <t>D</t>
    </r>
    <r>
      <rPr>
        <sz val="8"/>
        <color indexed="12"/>
        <rFont val="Arial"/>
        <family val="2"/>
      </rPr>
      <t xml:space="preserve"> = max T</t>
    </r>
  </si>
  <si>
    <r>
      <t>A</t>
    </r>
    <r>
      <rPr>
        <vertAlign val="subscript"/>
        <sz val="8"/>
        <color indexed="12"/>
        <rFont val="Arial"/>
        <family val="2"/>
      </rPr>
      <t>1</t>
    </r>
    <r>
      <rPr>
        <sz val="8"/>
        <color indexed="12"/>
        <rFont val="Arial"/>
        <family val="2"/>
      </rPr>
      <t>=A</t>
    </r>
    <r>
      <rPr>
        <vertAlign val="subscript"/>
        <sz val="8"/>
        <color indexed="12"/>
        <rFont val="Arial"/>
        <family val="2"/>
      </rPr>
      <t>4</t>
    </r>
    <r>
      <rPr>
        <sz val="8"/>
        <color indexed="12"/>
        <rFont val="Arial"/>
        <family val="2"/>
      </rPr>
      <t xml:space="preserve">      A</t>
    </r>
    <r>
      <rPr>
        <vertAlign val="subscript"/>
        <sz val="8"/>
        <color indexed="12"/>
        <rFont val="Arial"/>
        <family val="2"/>
      </rPr>
      <t>2k</t>
    </r>
    <r>
      <rPr>
        <sz val="8"/>
        <color indexed="12"/>
        <rFont val="Arial"/>
        <family val="2"/>
      </rPr>
      <t xml:space="preserve">  ≥ 1</t>
    </r>
  </si>
  <si>
    <r>
      <t>γ</t>
    </r>
    <r>
      <rPr>
        <vertAlign val="subscript"/>
        <sz val="8"/>
        <color indexed="12"/>
        <rFont val="Arial"/>
        <family val="2"/>
      </rPr>
      <t>1</t>
    </r>
  </si>
  <si>
    <r>
      <t>γ</t>
    </r>
    <r>
      <rPr>
        <vertAlign val="subscript"/>
        <sz val="8"/>
        <color indexed="12"/>
        <rFont val="Arial"/>
        <family val="2"/>
      </rPr>
      <t>F1</t>
    </r>
  </si>
  <si>
    <r>
      <t>γ</t>
    </r>
    <r>
      <rPr>
        <vertAlign val="subscript"/>
        <sz val="8"/>
        <color indexed="12"/>
        <rFont val="Arial"/>
        <family val="2"/>
      </rPr>
      <t>F2</t>
    </r>
  </si>
  <si>
    <t xml:space="preserve">Zulässige Spannung für Stutzen </t>
  </si>
  <si>
    <t>Erforderliche Wanddicke Stutzen</t>
  </si>
  <si>
    <t>Berechneter Druck in Stutzenlage</t>
  </si>
  <si>
    <r>
      <t>K*</t>
    </r>
    <r>
      <rPr>
        <vertAlign val="subscript"/>
        <sz val="8"/>
        <rFont val="Arial"/>
        <family val="2"/>
      </rPr>
      <t>L,d</t>
    </r>
  </si>
  <si>
    <r>
      <t xml:space="preserve"> K*</t>
    </r>
    <r>
      <rPr>
        <vertAlign val="subscript"/>
        <sz val="8"/>
        <rFont val="Arial"/>
        <family val="2"/>
      </rPr>
      <t>L,d</t>
    </r>
  </si>
  <si>
    <r>
      <t>A, B, C</t>
    </r>
    <r>
      <rPr>
        <i/>
        <sz val="8"/>
        <rFont val="Arial"/>
        <family val="2"/>
      </rPr>
      <t>: p = p</t>
    </r>
    <r>
      <rPr>
        <vertAlign val="subscript"/>
        <sz val="8"/>
        <rFont val="Arial"/>
        <family val="2"/>
      </rPr>
      <t>ü</t>
    </r>
    <r>
      <rPr>
        <i/>
        <sz val="8"/>
        <rFont val="Arial"/>
        <family val="2"/>
      </rPr>
      <t xml:space="preserve"> + p</t>
    </r>
    <r>
      <rPr>
        <vertAlign val="subscript"/>
        <sz val="8"/>
        <rFont val="Arial"/>
        <family val="2"/>
      </rPr>
      <t>stat</t>
    </r>
  </si>
  <si>
    <r>
      <t>σ</t>
    </r>
    <r>
      <rPr>
        <vertAlign val="subscript"/>
        <sz val="8"/>
        <rFont val="Arial"/>
        <family val="2"/>
      </rPr>
      <t xml:space="preserve">zul,Z </t>
    </r>
    <r>
      <rPr>
        <sz val="8"/>
        <rFont val="Arial"/>
        <family val="2"/>
      </rPr>
      <t xml:space="preserve">    σ</t>
    </r>
    <r>
      <rPr>
        <vertAlign val="subscript"/>
        <sz val="8"/>
        <rFont val="Arial"/>
        <family val="2"/>
      </rPr>
      <t>zul,D</t>
    </r>
  </si>
  <si>
    <r>
      <t>S</t>
    </r>
    <r>
      <rPr>
        <vertAlign val="subscript"/>
        <sz val="8"/>
        <rFont val="Arial"/>
        <family val="2"/>
      </rPr>
      <t>A</t>
    </r>
  </si>
  <si>
    <r>
      <t>S</t>
    </r>
    <r>
      <rPr>
        <vertAlign val="subscript"/>
        <sz val="8"/>
        <rFont val="Arial"/>
        <family val="2"/>
      </rPr>
      <t>C</t>
    </r>
  </si>
  <si>
    <t>Nachweis der Tragfähigkeit der Zylinderschale / der Dachschale im Stutzenbereich</t>
  </si>
  <si>
    <r>
      <t>V</t>
    </r>
    <r>
      <rPr>
        <vertAlign val="subscript"/>
        <sz val="8"/>
        <rFont val="Arial"/>
        <family val="2"/>
      </rPr>
      <t>A</t>
    </r>
  </si>
  <si>
    <r>
      <t>V</t>
    </r>
    <r>
      <rPr>
        <vertAlign val="subscript"/>
        <sz val="8"/>
        <rFont val="Arial"/>
        <family val="2"/>
      </rPr>
      <t>B</t>
    </r>
  </si>
  <si>
    <r>
      <t>V</t>
    </r>
    <r>
      <rPr>
        <vertAlign val="subscript"/>
        <sz val="8"/>
        <rFont val="Arial"/>
        <family val="2"/>
      </rPr>
      <t>C</t>
    </r>
  </si>
  <si>
    <r>
      <t>K</t>
    </r>
    <r>
      <rPr>
        <vertAlign val="subscript"/>
        <sz val="8"/>
        <rFont val="Arial"/>
        <family val="2"/>
      </rPr>
      <t>L,dvorh</t>
    </r>
    <r>
      <rPr>
        <sz val="8"/>
        <rFont val="Arial"/>
        <family val="2"/>
      </rPr>
      <t xml:space="preserve">    </t>
    </r>
    <r>
      <rPr>
        <sz val="8"/>
        <color indexed="48"/>
        <rFont val="Arial"/>
        <family val="2"/>
      </rPr>
      <t>( 16 )</t>
    </r>
  </si>
  <si>
    <r>
      <t>K</t>
    </r>
    <r>
      <rPr>
        <vertAlign val="subscript"/>
        <sz val="8"/>
        <rFont val="Arial"/>
        <family val="2"/>
      </rPr>
      <t>K,d,vorh</t>
    </r>
    <r>
      <rPr>
        <sz val="8"/>
        <rFont val="Arial"/>
        <family val="2"/>
      </rPr>
      <t xml:space="preserve">     (</t>
    </r>
    <r>
      <rPr>
        <sz val="8"/>
        <color indexed="48"/>
        <rFont val="Arial"/>
        <family val="2"/>
      </rPr>
      <t xml:space="preserve"> 17 )</t>
    </r>
  </si>
  <si>
    <r>
      <t>K</t>
    </r>
    <r>
      <rPr>
        <vertAlign val="subscript"/>
        <sz val="8"/>
        <rFont val="Arial"/>
        <family val="2"/>
      </rPr>
      <t>L,K,d,vorh</t>
    </r>
    <r>
      <rPr>
        <sz val="8"/>
        <rFont val="Arial"/>
        <family val="2"/>
      </rPr>
      <t xml:space="preserve"> / K*</t>
    </r>
    <r>
      <rPr>
        <vertAlign val="subscript"/>
        <sz val="8"/>
        <rFont val="Arial"/>
        <family val="2"/>
      </rPr>
      <t>L,K,d</t>
    </r>
    <r>
      <rPr>
        <sz val="8"/>
        <rFont val="Arial"/>
        <family val="2"/>
      </rPr>
      <t xml:space="preserve">  ≤ 1</t>
    </r>
  </si>
  <si>
    <r>
      <t>Innen, Sommer:</t>
    </r>
    <r>
      <rPr>
        <i/>
        <sz val="8"/>
        <rFont val="Arial"/>
        <family val="2"/>
      </rPr>
      <t xml:space="preserve">  P</t>
    </r>
    <r>
      <rPr>
        <vertAlign val="subscript"/>
        <sz val="8"/>
        <rFont val="Arial"/>
        <family val="2"/>
      </rPr>
      <t>DL,M,K,d</t>
    </r>
  </si>
  <si>
    <r>
      <t>Winter:</t>
    </r>
    <r>
      <rPr>
        <i/>
        <sz val="8"/>
        <rFont val="Arial"/>
        <family val="2"/>
      </rPr>
      <t xml:space="preserve">  P</t>
    </r>
    <r>
      <rPr>
        <vertAlign val="subscript"/>
        <sz val="8"/>
        <rFont val="Arial"/>
        <family val="2"/>
      </rPr>
      <t>DL,M,K,d</t>
    </r>
  </si>
  <si>
    <r>
      <t>Innen, So</t>
    </r>
    <r>
      <rPr>
        <i/>
        <sz val="8"/>
        <rFont val="Arial"/>
        <family val="2"/>
      </rPr>
      <t>:  K</t>
    </r>
    <r>
      <rPr>
        <vertAlign val="subscript"/>
        <sz val="8"/>
        <rFont val="Arial"/>
        <family val="2"/>
      </rPr>
      <t>L,M,K,d vorh.</t>
    </r>
    <r>
      <rPr>
        <sz val="8"/>
        <rFont val="Arial"/>
        <family val="2"/>
      </rPr>
      <t xml:space="preserve"> </t>
    </r>
    <r>
      <rPr>
        <sz val="8"/>
        <color indexed="48"/>
        <rFont val="Arial"/>
        <family val="2"/>
      </rPr>
      <t xml:space="preserve"> (35)</t>
    </r>
  </si>
  <si>
    <r>
      <t>Winter:</t>
    </r>
    <r>
      <rPr>
        <i/>
        <sz val="8"/>
        <rFont val="Arial"/>
        <family val="2"/>
      </rPr>
      <t xml:space="preserve">  K</t>
    </r>
    <r>
      <rPr>
        <vertAlign val="subscript"/>
        <sz val="8"/>
        <rFont val="Arial"/>
        <family val="2"/>
      </rPr>
      <t>L,M,K,d vorh.</t>
    </r>
    <r>
      <rPr>
        <sz val="8"/>
        <rFont val="Arial"/>
        <family val="2"/>
      </rPr>
      <t xml:space="preserve"> </t>
    </r>
    <r>
      <rPr>
        <sz val="8"/>
        <color indexed="48"/>
        <rFont val="Arial"/>
        <family val="2"/>
      </rPr>
      <t xml:space="preserve"> (35)</t>
    </r>
  </si>
  <si>
    <r>
      <t>Gewählt</t>
    </r>
    <r>
      <rPr>
        <sz val="8"/>
        <rFont val="Arial"/>
        <family val="2"/>
      </rPr>
      <t xml:space="preserve"> Ösendicke</t>
    </r>
  </si>
  <si>
    <r>
      <t>S</t>
    </r>
    <r>
      <rPr>
        <vertAlign val="subscript"/>
        <sz val="8"/>
        <rFont val="Arial"/>
        <family val="2"/>
      </rPr>
      <t>ö</t>
    </r>
  </si>
  <si>
    <t>Ø Schäkel</t>
  </si>
  <si>
    <r>
      <t>d</t>
    </r>
    <r>
      <rPr>
        <vertAlign val="subscript"/>
        <sz val="8"/>
        <rFont val="Arial"/>
        <family val="2"/>
      </rPr>
      <t>sch</t>
    </r>
    <r>
      <rPr>
        <sz val="8"/>
        <rFont val="Arial"/>
        <family val="2"/>
      </rPr>
      <t xml:space="preserve"> ≥10</t>
    </r>
  </si>
  <si>
    <r>
      <t>d</t>
    </r>
    <r>
      <rPr>
        <vertAlign val="subscript"/>
        <sz val="8"/>
        <color indexed="12"/>
        <rFont val="Arial"/>
        <family val="2"/>
      </rPr>
      <t>L</t>
    </r>
  </si>
  <si>
    <r>
      <t>d</t>
    </r>
    <r>
      <rPr>
        <vertAlign val="subscript"/>
        <sz val="8"/>
        <rFont val="Arial"/>
        <family val="2"/>
      </rPr>
      <t>L</t>
    </r>
    <r>
      <rPr>
        <sz val="8"/>
        <rFont val="Arial"/>
        <family val="2"/>
      </rPr>
      <t>≥10</t>
    </r>
  </si>
  <si>
    <r>
      <t>F</t>
    </r>
    <r>
      <rPr>
        <vertAlign val="subscript"/>
        <sz val="8"/>
        <rFont val="Arial"/>
        <family val="2"/>
      </rPr>
      <t>E</t>
    </r>
    <r>
      <rPr>
        <sz val="8"/>
        <rFont val="Arial"/>
        <family val="2"/>
      </rPr>
      <t xml:space="preserve"> ≥ 0</t>
    </r>
  </si>
  <si>
    <t>≥ M12</t>
  </si>
  <si>
    <r>
      <t xml:space="preserve"> T</t>
    </r>
    <r>
      <rPr>
        <vertAlign val="subscript"/>
        <sz val="8"/>
        <color indexed="12"/>
        <rFont val="Arial"/>
        <family val="2"/>
      </rPr>
      <t>Montage</t>
    </r>
    <r>
      <rPr>
        <sz val="8"/>
        <color indexed="12"/>
        <rFont val="Arial"/>
        <family val="2"/>
      </rPr>
      <t xml:space="preserve">     T</t>
    </r>
    <r>
      <rPr>
        <vertAlign val="subscript"/>
        <sz val="8"/>
        <color indexed="12"/>
        <rFont val="Arial"/>
        <family val="2"/>
      </rPr>
      <t>zyl.</t>
    </r>
  </si>
  <si>
    <r>
      <t>A</t>
    </r>
    <r>
      <rPr>
        <vertAlign val="subscript"/>
        <sz val="8"/>
        <color indexed="12"/>
        <rFont val="Arial"/>
        <family val="2"/>
      </rPr>
      <t>1</t>
    </r>
    <r>
      <rPr>
        <sz val="8"/>
        <color indexed="12"/>
        <rFont val="Arial"/>
        <family val="2"/>
      </rPr>
      <t>=A</t>
    </r>
    <r>
      <rPr>
        <vertAlign val="subscript"/>
        <sz val="8"/>
        <color indexed="12"/>
        <rFont val="Arial"/>
        <family val="2"/>
      </rPr>
      <t xml:space="preserve">4  </t>
    </r>
    <r>
      <rPr>
        <sz val="8"/>
        <color indexed="12"/>
        <rFont val="Arial"/>
        <family val="2"/>
      </rPr>
      <t xml:space="preserve">    A</t>
    </r>
    <r>
      <rPr>
        <vertAlign val="subscript"/>
        <sz val="8"/>
        <color indexed="12"/>
        <rFont val="Arial"/>
        <family val="2"/>
      </rPr>
      <t>2k</t>
    </r>
    <r>
      <rPr>
        <sz val="8"/>
        <color indexed="12"/>
        <rFont val="Arial"/>
        <family val="2"/>
      </rPr>
      <t xml:space="preserve">  ≥ 1</t>
    </r>
  </si>
  <si>
    <r>
      <t xml:space="preserve"> γ</t>
    </r>
    <r>
      <rPr>
        <vertAlign val="subscript"/>
        <sz val="8"/>
        <color indexed="12"/>
        <rFont val="Arial"/>
        <family val="2"/>
      </rPr>
      <t xml:space="preserve">1 </t>
    </r>
    <r>
      <rPr>
        <sz val="8"/>
        <color indexed="12"/>
        <rFont val="Arial"/>
        <family val="2"/>
      </rPr>
      <t xml:space="preserve">         γ</t>
    </r>
    <r>
      <rPr>
        <vertAlign val="subscript"/>
        <sz val="8"/>
        <color indexed="12"/>
        <rFont val="Arial"/>
        <family val="2"/>
      </rPr>
      <t>F1</t>
    </r>
    <r>
      <rPr>
        <sz val="8"/>
        <color indexed="12"/>
        <rFont val="Arial"/>
        <family val="2"/>
      </rPr>
      <t xml:space="preserve">       γ</t>
    </r>
    <r>
      <rPr>
        <vertAlign val="subscript"/>
        <sz val="8"/>
        <color indexed="12"/>
        <rFont val="Arial"/>
        <family val="2"/>
      </rPr>
      <t>F2</t>
    </r>
    <r>
      <rPr>
        <sz val="8"/>
        <color indexed="12"/>
        <rFont val="Arial"/>
        <family val="2"/>
      </rPr>
      <t xml:space="preserve">           </t>
    </r>
  </si>
  <si>
    <r>
      <t>S</t>
    </r>
    <r>
      <rPr>
        <vertAlign val="subscript"/>
        <sz val="8"/>
        <color indexed="12"/>
        <rFont val="Arial"/>
        <family val="2"/>
      </rPr>
      <t>B</t>
    </r>
  </si>
  <si>
    <r>
      <t>G</t>
    </r>
    <r>
      <rPr>
        <vertAlign val="subscript"/>
        <sz val="8"/>
        <color indexed="12"/>
        <rFont val="Arial"/>
        <family val="2"/>
      </rPr>
      <t>Z</t>
    </r>
    <r>
      <rPr>
        <sz val="8"/>
        <color indexed="12"/>
        <rFont val="Arial"/>
        <family val="2"/>
      </rPr>
      <t xml:space="preserve">        </t>
    </r>
    <r>
      <rPr>
        <i/>
        <sz val="8"/>
        <color indexed="12"/>
        <rFont val="Arial"/>
        <family val="2"/>
      </rPr>
      <t>G</t>
    </r>
    <r>
      <rPr>
        <vertAlign val="subscript"/>
        <sz val="8"/>
        <color indexed="12"/>
        <rFont val="Arial"/>
        <family val="2"/>
      </rPr>
      <t>D</t>
    </r>
  </si>
  <si>
    <r>
      <t>G</t>
    </r>
    <r>
      <rPr>
        <vertAlign val="subscript"/>
        <sz val="8"/>
        <color indexed="12"/>
        <rFont val="Arial"/>
        <family val="2"/>
      </rPr>
      <t>E</t>
    </r>
    <r>
      <rPr>
        <sz val="8"/>
        <color indexed="12"/>
        <rFont val="Arial"/>
        <family val="2"/>
      </rPr>
      <t xml:space="preserve"> = </t>
    </r>
    <r>
      <rPr>
        <i/>
        <sz val="8"/>
        <color indexed="12"/>
        <rFont val="Arial"/>
        <family val="2"/>
      </rPr>
      <t>G</t>
    </r>
    <r>
      <rPr>
        <vertAlign val="subscript"/>
        <sz val="8"/>
        <color indexed="12"/>
        <rFont val="Arial"/>
        <family val="2"/>
      </rPr>
      <t>Z</t>
    </r>
    <r>
      <rPr>
        <sz val="8"/>
        <color indexed="12"/>
        <rFont val="Arial"/>
        <family val="2"/>
      </rPr>
      <t xml:space="preserve"> + </t>
    </r>
    <r>
      <rPr>
        <i/>
        <sz val="8"/>
        <color indexed="12"/>
        <rFont val="Arial"/>
        <family val="2"/>
      </rPr>
      <t>G</t>
    </r>
    <r>
      <rPr>
        <vertAlign val="subscript"/>
        <sz val="8"/>
        <color indexed="12"/>
        <rFont val="Arial"/>
        <family val="2"/>
      </rPr>
      <t>D</t>
    </r>
    <r>
      <rPr>
        <sz val="8"/>
        <color indexed="12"/>
        <rFont val="Arial"/>
        <family val="2"/>
      </rPr>
      <t xml:space="preserve"> + </t>
    </r>
    <r>
      <rPr>
        <i/>
        <sz val="8"/>
        <color indexed="12"/>
        <rFont val="Arial"/>
        <family val="2"/>
      </rPr>
      <t>G</t>
    </r>
    <r>
      <rPr>
        <vertAlign val="subscript"/>
        <sz val="8"/>
        <color indexed="12"/>
        <rFont val="Arial"/>
        <family val="2"/>
      </rPr>
      <t>B</t>
    </r>
  </si>
  <si>
    <r>
      <t>b</t>
    </r>
    <r>
      <rPr>
        <vertAlign val="subscript"/>
        <sz val="8"/>
        <rFont val="Arial"/>
        <family val="2"/>
      </rPr>
      <t>ö</t>
    </r>
  </si>
  <si>
    <r>
      <t>Maximale Pratzenkräfte (</t>
    </r>
    <r>
      <rPr>
        <b/>
        <i/>
        <sz val="9"/>
        <rFont val="Arial"/>
        <family val="2"/>
      </rPr>
      <t>F</t>
    </r>
    <r>
      <rPr>
        <b/>
        <sz val="7"/>
        <rFont val="Arial"/>
        <family val="2"/>
      </rPr>
      <t>Pr</t>
    </r>
    <r>
      <rPr>
        <b/>
        <sz val="9"/>
        <rFont val="Arial"/>
        <family val="2"/>
      </rPr>
      <t>), Nachweis der Verankerung</t>
    </r>
  </si>
  <si>
    <r>
      <t>n</t>
    </r>
    <r>
      <rPr>
        <vertAlign val="subscript"/>
        <sz val="8"/>
        <rFont val="Arial"/>
        <family val="2"/>
      </rPr>
      <t>Z,d</t>
    </r>
    <r>
      <rPr>
        <sz val="8"/>
        <rFont val="Arial"/>
        <family val="2"/>
      </rPr>
      <t xml:space="preserve">      </t>
    </r>
    <r>
      <rPr>
        <sz val="8"/>
        <color indexed="48"/>
        <rFont val="Arial"/>
        <family val="2"/>
      </rPr>
      <t xml:space="preserve"> (24,c)</t>
    </r>
  </si>
  <si>
    <t>Kurzzeitige Pratzenkraft infolge Ü-Druck</t>
  </si>
  <si>
    <r>
      <t>F</t>
    </r>
    <r>
      <rPr>
        <vertAlign val="subscript"/>
        <sz val="8"/>
        <rFont val="Arial"/>
        <family val="2"/>
      </rPr>
      <t>Prk</t>
    </r>
    <r>
      <rPr>
        <i/>
        <sz val="8"/>
        <rFont val="Arial"/>
        <family val="2"/>
      </rPr>
      <t xml:space="preserve">  </t>
    </r>
    <r>
      <rPr>
        <i/>
        <sz val="8"/>
        <color indexed="48"/>
        <rFont val="Arial"/>
        <family val="2"/>
      </rPr>
      <t xml:space="preserve"> </t>
    </r>
    <r>
      <rPr>
        <sz val="8"/>
        <color indexed="48"/>
        <rFont val="Arial"/>
        <family val="2"/>
      </rPr>
      <t>(36)</t>
    </r>
  </si>
  <si>
    <t>Langzeitige Pratzenkraft infolge Ü-Druck</t>
  </si>
  <si>
    <r>
      <t>F</t>
    </r>
    <r>
      <rPr>
        <vertAlign val="subscript"/>
        <sz val="8"/>
        <rFont val="Arial"/>
        <family val="2"/>
      </rPr>
      <t xml:space="preserve">PrL </t>
    </r>
    <r>
      <rPr>
        <i/>
        <vertAlign val="subscript"/>
        <sz val="8"/>
        <rFont val="Arial"/>
        <family val="2"/>
      </rPr>
      <t xml:space="preserve">  </t>
    </r>
    <r>
      <rPr>
        <i/>
        <sz val="8"/>
        <rFont val="Arial"/>
        <family val="2"/>
      </rPr>
      <t xml:space="preserve">  </t>
    </r>
    <r>
      <rPr>
        <sz val="8"/>
        <color indexed="48"/>
        <rFont val="Arial"/>
        <family val="2"/>
      </rPr>
      <t>(37)</t>
    </r>
  </si>
  <si>
    <r>
      <t>F</t>
    </r>
    <r>
      <rPr>
        <vertAlign val="subscript"/>
        <sz val="8"/>
        <rFont val="Arial"/>
        <family val="2"/>
      </rPr>
      <t>Pr w</t>
    </r>
    <r>
      <rPr>
        <i/>
        <vertAlign val="subscript"/>
        <sz val="8"/>
        <rFont val="Arial"/>
        <family val="2"/>
      </rPr>
      <t xml:space="preserve"> </t>
    </r>
    <r>
      <rPr>
        <i/>
        <sz val="8"/>
        <rFont val="Arial"/>
        <family val="2"/>
      </rPr>
      <t xml:space="preserve">  </t>
    </r>
    <r>
      <rPr>
        <i/>
        <sz val="8"/>
        <color indexed="48"/>
        <rFont val="Arial"/>
        <family val="2"/>
      </rPr>
      <t xml:space="preserve"> </t>
    </r>
    <r>
      <rPr>
        <sz val="8"/>
        <color indexed="48"/>
        <rFont val="Arial"/>
        <family val="2"/>
      </rPr>
      <t>(38)</t>
    </r>
  </si>
  <si>
    <r>
      <t>F</t>
    </r>
    <r>
      <rPr>
        <vertAlign val="subscript"/>
        <sz val="7"/>
        <rFont val="Arial"/>
        <family val="2"/>
      </rPr>
      <t>P</t>
    </r>
  </si>
  <si>
    <t>Aufnehmbare kurzzeitige Pratzenkraft</t>
  </si>
  <si>
    <r>
      <t>F</t>
    </r>
    <r>
      <rPr>
        <vertAlign val="subscript"/>
        <sz val="8"/>
        <rFont val="Arial"/>
        <family val="2"/>
      </rPr>
      <t>Prk ,zul</t>
    </r>
    <r>
      <rPr>
        <sz val="8"/>
        <rFont val="Arial"/>
        <family val="2"/>
      </rPr>
      <t xml:space="preserve">   </t>
    </r>
    <r>
      <rPr>
        <sz val="8"/>
        <color indexed="48"/>
        <rFont val="Arial"/>
        <family val="2"/>
      </rPr>
      <t>(36)</t>
    </r>
  </si>
  <si>
    <t>Aufnehmbare langzeitige Pratzenkraft</t>
  </si>
  <si>
    <r>
      <t>F</t>
    </r>
    <r>
      <rPr>
        <vertAlign val="subscript"/>
        <sz val="8"/>
        <rFont val="Arial"/>
        <family val="2"/>
      </rPr>
      <t xml:space="preserve">PrL ,zul </t>
    </r>
    <r>
      <rPr>
        <sz val="8"/>
        <rFont val="Arial"/>
        <family val="2"/>
      </rPr>
      <t xml:space="preserve">  </t>
    </r>
    <r>
      <rPr>
        <sz val="8"/>
        <color indexed="48"/>
        <rFont val="Arial"/>
        <family val="2"/>
      </rPr>
      <t>(37)</t>
    </r>
  </si>
  <si>
    <r>
      <t>F</t>
    </r>
    <r>
      <rPr>
        <vertAlign val="subscript"/>
        <sz val="8"/>
        <rFont val="Arial"/>
        <family val="2"/>
      </rPr>
      <t xml:space="preserve">Pr k </t>
    </r>
    <r>
      <rPr>
        <sz val="8"/>
        <rFont val="Arial"/>
        <family val="2"/>
      </rPr>
      <t xml:space="preserve">/ </t>
    </r>
    <r>
      <rPr>
        <i/>
        <sz val="8"/>
        <rFont val="Arial"/>
        <family val="2"/>
      </rPr>
      <t>F</t>
    </r>
    <r>
      <rPr>
        <vertAlign val="subscript"/>
        <sz val="8"/>
        <rFont val="Arial"/>
        <family val="2"/>
      </rPr>
      <t>Prk,zul</t>
    </r>
    <r>
      <rPr>
        <sz val="8"/>
        <rFont val="Arial"/>
        <family val="2"/>
      </rPr>
      <t xml:space="preserve"> ≤1</t>
    </r>
  </si>
  <si>
    <r>
      <t>F</t>
    </r>
    <r>
      <rPr>
        <vertAlign val="subscript"/>
        <sz val="8"/>
        <rFont val="Arial"/>
        <family val="2"/>
      </rPr>
      <t>PrL</t>
    </r>
    <r>
      <rPr>
        <sz val="8"/>
        <rFont val="Arial"/>
        <family val="2"/>
      </rPr>
      <t xml:space="preserve"> / </t>
    </r>
    <r>
      <rPr>
        <i/>
        <sz val="8"/>
        <rFont val="Arial"/>
        <family val="2"/>
      </rPr>
      <t>F</t>
    </r>
    <r>
      <rPr>
        <vertAlign val="subscript"/>
        <sz val="8"/>
        <rFont val="Arial"/>
        <family val="2"/>
      </rPr>
      <t>PrL ,zul</t>
    </r>
    <r>
      <rPr>
        <sz val="8"/>
        <rFont val="Arial"/>
        <family val="2"/>
      </rPr>
      <t xml:space="preserve"> ≤ 1</t>
    </r>
  </si>
  <si>
    <r>
      <t>F</t>
    </r>
    <r>
      <rPr>
        <vertAlign val="subscript"/>
        <sz val="8"/>
        <rFont val="Arial"/>
        <family val="2"/>
      </rPr>
      <t>Pr w</t>
    </r>
    <r>
      <rPr>
        <sz val="8"/>
        <rFont val="Arial"/>
        <family val="2"/>
      </rPr>
      <t xml:space="preserve"> /</t>
    </r>
    <r>
      <rPr>
        <i/>
        <sz val="8"/>
        <rFont val="Arial"/>
        <family val="2"/>
      </rPr>
      <t xml:space="preserve"> F</t>
    </r>
    <r>
      <rPr>
        <vertAlign val="subscript"/>
        <sz val="8"/>
        <rFont val="Arial"/>
        <family val="2"/>
      </rPr>
      <t>Prk,zul</t>
    </r>
    <r>
      <rPr>
        <sz val="8"/>
        <rFont val="Arial"/>
        <family val="2"/>
      </rPr>
      <t xml:space="preserve"> ≤1</t>
    </r>
  </si>
  <si>
    <r>
      <t>D</t>
    </r>
    <r>
      <rPr>
        <vertAlign val="subscript"/>
        <sz val="7"/>
        <rFont val="Arial"/>
        <family val="2"/>
      </rPr>
      <t>B</t>
    </r>
    <r>
      <rPr>
        <sz val="7"/>
        <rFont val="Arial"/>
        <family val="2"/>
      </rPr>
      <t xml:space="preserve"> ≥ d+2·S</t>
    </r>
    <r>
      <rPr>
        <vertAlign val="subscript"/>
        <sz val="7"/>
        <rFont val="Arial"/>
        <family val="2"/>
      </rPr>
      <t>Z</t>
    </r>
    <r>
      <rPr>
        <sz val="7"/>
        <rFont val="Arial"/>
        <family val="2"/>
      </rPr>
      <t>+20+2·a</t>
    </r>
  </si>
  <si>
    <r>
      <t>K*</t>
    </r>
    <r>
      <rPr>
        <vertAlign val="subscript"/>
        <sz val="8"/>
        <color indexed="12"/>
        <rFont val="Arial"/>
        <family val="2"/>
      </rPr>
      <t>L,d,TM</t>
    </r>
    <r>
      <rPr>
        <sz val="8"/>
        <color indexed="12"/>
        <rFont val="Arial"/>
        <family val="2"/>
      </rPr>
      <t xml:space="preserve"> </t>
    </r>
    <r>
      <rPr>
        <sz val="6.5"/>
        <color indexed="12"/>
        <rFont val="Arial"/>
        <family val="2"/>
      </rPr>
      <t xml:space="preserve">  </t>
    </r>
    <r>
      <rPr>
        <sz val="8"/>
        <color indexed="12"/>
        <rFont val="Arial"/>
        <family val="2"/>
      </rPr>
      <t xml:space="preserve">   K*</t>
    </r>
    <r>
      <rPr>
        <vertAlign val="subscript"/>
        <sz val="8"/>
        <color indexed="12"/>
        <rFont val="Arial"/>
        <family val="2"/>
      </rPr>
      <t>K,d,Mont</t>
    </r>
  </si>
  <si>
    <t>Die mathem.Symbole, Anmerkungen, Verweise "siehe roter Punkt" sind Berechnungsbestandteil und zu beachten. Zum Lesen: Cursor aufsetzen</t>
  </si>
  <si>
    <r>
      <t xml:space="preserve">Mit Kegeldach, Neigung 15° ≤ </t>
    </r>
    <r>
      <rPr>
        <b/>
        <i/>
        <sz val="9"/>
        <rFont val="Arial"/>
        <family val="2"/>
      </rPr>
      <t>ß</t>
    </r>
    <r>
      <rPr>
        <b/>
        <sz val="9"/>
        <rFont val="Arial"/>
        <family val="2"/>
      </rPr>
      <t xml:space="preserve"> ≤ 75°,  Zylinderdicke konst.</t>
    </r>
  </si>
  <si>
    <r>
      <t>Zusatzlast Dach</t>
    </r>
    <r>
      <rPr>
        <sz val="7"/>
        <rFont val="Arial"/>
        <family val="2"/>
      </rPr>
      <t xml:space="preserve"> (Stutzen, EMR,Dämmung)</t>
    </r>
  </si>
  <si>
    <t>10 ≤T≤ 30</t>
  </si>
  <si>
    <r>
      <t xml:space="preserve">Berechnungsbeiwert;  </t>
    </r>
    <r>
      <rPr>
        <i/>
        <sz val="8"/>
        <rFont val="Arial"/>
        <family val="2"/>
      </rPr>
      <t>f</t>
    </r>
    <r>
      <rPr>
        <vertAlign val="subscript"/>
        <sz val="8"/>
        <rFont val="Arial"/>
        <family val="2"/>
      </rPr>
      <t>αi</t>
    </r>
    <r>
      <rPr>
        <sz val="8"/>
        <rFont val="Arial"/>
        <family val="2"/>
      </rPr>
      <t xml:space="preserve"> =1,0  (const.)</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</si>
</sst>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
    <numFmt numFmtId="173" formatCode="0.0"/>
    <numFmt numFmtId="174" formatCode="0.0000"/>
    <numFmt numFmtId="175" formatCode="0.000000"/>
    <numFmt numFmtId="176" formatCode="0.00000000"/>
    <numFmt numFmtId="177" formatCode="0;[Red]0"/>
    <numFmt numFmtId="178" formatCode="0.0E+00"/>
    <numFmt numFmtId="179" formatCode="0.000E+00"/>
    <numFmt numFmtId="180" formatCode="0.000"/>
    <numFmt numFmtId="181" formatCode="0.0000000"/>
    <numFmt numFmtId="182" formatCode="#,##0\ &quot;DM&quot;"/>
    <numFmt numFmtId="183" formatCode="0.00000"/>
    <numFmt numFmtId="184" formatCode="0.0000E+00"/>
    <numFmt numFmtId="185" formatCode="#,##0.0"/>
    <numFmt numFmtId="186" formatCode="#,##0.000"/>
    <numFmt numFmtId="187" formatCode="#,##0_ ;\-#,##0\ "/>
    <numFmt numFmtId="188" formatCode="0.000000000"/>
    <numFmt numFmtId="189" formatCode="0.000000000E+00"/>
    <numFmt numFmtId="190" formatCode="0.00000E+00"/>
    <numFmt numFmtId="191" formatCode="#,##0.0\ _D_M"/>
    <numFmt numFmtId="192" formatCode="#,##0.0000"/>
    <numFmt numFmtId="193" formatCode="#,##0.00000000"/>
    <numFmt numFmtId="194" formatCode="0.0000E-0\5"/>
    <numFmt numFmtId="195" formatCode="0.0000E-0"/>
    <numFmt numFmtId="196" formatCode="#,##0.00\ _€"/>
  </numFmts>
  <fonts count="66">
    <font>
      <sz val="10"/>
      <name val="Arial"/>
      <family val="0"/>
    </font>
    <font>
      <sz val="9"/>
      <name val="Arial"/>
      <family val="2"/>
    </font>
    <font>
      <b/>
      <sz val="9"/>
      <name val="Arial"/>
      <family val="2"/>
    </font>
    <font>
      <b/>
      <sz val="8"/>
      <name val="Arial"/>
      <family val="2"/>
    </font>
    <font>
      <sz val="8"/>
      <name val="Arial"/>
      <family val="2"/>
    </font>
    <font>
      <sz val="8"/>
      <color indexed="10"/>
      <name val="Arial"/>
      <family val="2"/>
    </font>
    <font>
      <sz val="8"/>
      <name val="Tahoma"/>
      <family val="0"/>
    </font>
    <font>
      <sz val="7"/>
      <name val="Arial"/>
      <family val="2"/>
    </font>
    <font>
      <sz val="7"/>
      <color indexed="10"/>
      <name val="Arial"/>
      <family val="2"/>
    </font>
    <font>
      <sz val="8"/>
      <color indexed="12"/>
      <name val="Arial"/>
      <family val="2"/>
    </font>
    <font>
      <b/>
      <sz val="8"/>
      <color indexed="10"/>
      <name val="Arial"/>
      <family val="2"/>
    </font>
    <font>
      <i/>
      <sz val="7"/>
      <name val="Arial"/>
      <family val="2"/>
    </font>
    <font>
      <vertAlign val="superscript"/>
      <sz val="8"/>
      <name val="Arial"/>
      <family val="2"/>
    </font>
    <font>
      <i/>
      <sz val="8"/>
      <name val="Arial"/>
      <family val="2"/>
    </font>
    <font>
      <u val="single"/>
      <sz val="8"/>
      <name val="Arial"/>
      <family val="2"/>
    </font>
    <font>
      <b/>
      <sz val="7"/>
      <name val="Arial"/>
      <family val="2"/>
    </font>
    <font>
      <sz val="10"/>
      <color indexed="10"/>
      <name val="Arial"/>
      <family val="2"/>
    </font>
    <font>
      <b/>
      <sz val="10"/>
      <name val="Arial"/>
      <family val="2"/>
    </font>
    <font>
      <i/>
      <sz val="8"/>
      <color indexed="10"/>
      <name val="Arial"/>
      <family val="2"/>
    </font>
    <font>
      <b/>
      <sz val="9"/>
      <color indexed="10"/>
      <name val="Arial"/>
      <family val="2"/>
    </font>
    <font>
      <i/>
      <sz val="10"/>
      <name val="Arial"/>
      <family val="2"/>
    </font>
    <font>
      <sz val="8"/>
      <color indexed="23"/>
      <name val="Arial"/>
      <family val="2"/>
    </font>
    <font>
      <i/>
      <sz val="7"/>
      <color indexed="10"/>
      <name val="Arial"/>
      <family val="2"/>
    </font>
    <font>
      <i/>
      <sz val="9"/>
      <name val="Arial"/>
      <family val="2"/>
    </font>
    <font>
      <u val="single"/>
      <sz val="9"/>
      <name val="Arial"/>
      <family val="2"/>
    </font>
    <font>
      <u val="single"/>
      <sz val="10"/>
      <name val="Arial"/>
      <family val="2"/>
    </font>
    <font>
      <b/>
      <sz val="10"/>
      <color indexed="10"/>
      <name val="Arial"/>
      <family val="2"/>
    </font>
    <font>
      <b/>
      <i/>
      <sz val="9"/>
      <color indexed="10"/>
      <name val="Arial"/>
      <family val="2"/>
    </font>
    <font>
      <sz val="9"/>
      <color indexed="10"/>
      <name val="Arial"/>
      <family val="0"/>
    </font>
    <font>
      <i/>
      <sz val="10"/>
      <color indexed="10"/>
      <name val="Arial"/>
      <family val="2"/>
    </font>
    <font>
      <b/>
      <i/>
      <sz val="9"/>
      <name val="Arial"/>
      <family val="2"/>
    </font>
    <font>
      <b/>
      <i/>
      <sz val="10"/>
      <name val="Arial"/>
      <family val="2"/>
    </font>
    <font>
      <i/>
      <sz val="8"/>
      <color indexed="23"/>
      <name val="Arial"/>
      <family val="2"/>
    </font>
    <font>
      <i/>
      <sz val="9"/>
      <color indexed="10"/>
      <name val="Arial"/>
      <family val="2"/>
    </font>
    <font>
      <b/>
      <sz val="9"/>
      <color indexed="12"/>
      <name val="Arial"/>
      <family val="2"/>
    </font>
    <font>
      <b/>
      <sz val="8"/>
      <color indexed="12"/>
      <name val="Arial"/>
      <family val="2"/>
    </font>
    <font>
      <sz val="6.5"/>
      <name val="Arial"/>
      <family val="2"/>
    </font>
    <font>
      <u val="single"/>
      <sz val="13"/>
      <color indexed="12"/>
      <name val="Arial"/>
      <family val="0"/>
    </font>
    <font>
      <u val="single"/>
      <sz val="13"/>
      <color indexed="36"/>
      <name val="Arial"/>
      <family val="0"/>
    </font>
    <font>
      <sz val="9"/>
      <color indexed="8"/>
      <name val="Arial"/>
      <family val="2"/>
    </font>
    <font>
      <u val="single"/>
      <sz val="7"/>
      <name val="Arial"/>
      <family val="0"/>
    </font>
    <font>
      <sz val="8"/>
      <color indexed="48"/>
      <name val="Arial"/>
      <family val="2"/>
    </font>
    <font>
      <i/>
      <sz val="8"/>
      <color indexed="12"/>
      <name val="Arial"/>
      <family val="0"/>
    </font>
    <font>
      <sz val="9"/>
      <color indexed="12"/>
      <name val="Arial"/>
      <family val="2"/>
    </font>
    <font>
      <b/>
      <vertAlign val="superscript"/>
      <sz val="10"/>
      <name val="Arial"/>
      <family val="2"/>
    </font>
    <font>
      <i/>
      <sz val="8"/>
      <color indexed="48"/>
      <name val="Arial"/>
      <family val="2"/>
    </font>
    <font>
      <vertAlign val="superscript"/>
      <sz val="8"/>
      <color indexed="12"/>
      <name val="Arial"/>
      <family val="2"/>
    </font>
    <font>
      <sz val="6.5"/>
      <color indexed="12"/>
      <name val="Arial"/>
      <family val="2"/>
    </font>
    <font>
      <sz val="7"/>
      <color indexed="12"/>
      <name val="Arial"/>
      <family val="2"/>
    </font>
    <font>
      <b/>
      <u val="single"/>
      <sz val="9"/>
      <name val="Arial"/>
      <family val="2"/>
    </font>
    <font>
      <i/>
      <sz val="6.5"/>
      <color indexed="10"/>
      <name val="Arial"/>
      <family val="2"/>
    </font>
    <font>
      <i/>
      <sz val="7"/>
      <color indexed="12"/>
      <name val="Arial"/>
      <family val="2"/>
    </font>
    <font>
      <b/>
      <sz val="10"/>
      <color indexed="12"/>
      <name val="Arial"/>
      <family val="2"/>
    </font>
    <font>
      <b/>
      <i/>
      <sz val="8"/>
      <name val="Arial"/>
      <family val="2"/>
    </font>
    <font>
      <b/>
      <i/>
      <sz val="8"/>
      <color indexed="10"/>
      <name val="Arial"/>
      <family val="2"/>
    </font>
    <font>
      <b/>
      <u val="single"/>
      <sz val="8"/>
      <name val="Arial"/>
      <family val="2"/>
    </font>
    <font>
      <b/>
      <sz val="8"/>
      <color indexed="9"/>
      <name val="Arial"/>
      <family val="2"/>
    </font>
    <font>
      <vertAlign val="subscript"/>
      <sz val="8"/>
      <name val="Arial"/>
      <family val="2"/>
    </font>
    <font>
      <i/>
      <vertAlign val="subscript"/>
      <sz val="8"/>
      <color indexed="12"/>
      <name val="Arial"/>
      <family val="2"/>
    </font>
    <font>
      <vertAlign val="subscript"/>
      <sz val="6.5"/>
      <name val="Arial"/>
      <family val="2"/>
    </font>
    <font>
      <vertAlign val="subscript"/>
      <sz val="7"/>
      <name val="Arial"/>
      <family val="2"/>
    </font>
    <font>
      <b/>
      <i/>
      <sz val="8"/>
      <color indexed="9"/>
      <name val="Arial"/>
      <family val="2"/>
    </font>
    <font>
      <i/>
      <vertAlign val="superscript"/>
      <sz val="8"/>
      <name val="Arial"/>
      <family val="2"/>
    </font>
    <font>
      <vertAlign val="subscript"/>
      <sz val="8"/>
      <color indexed="12"/>
      <name val="Arial"/>
      <family val="2"/>
    </font>
    <font>
      <vertAlign val="subscript"/>
      <sz val="9"/>
      <color indexed="12"/>
      <name val="Arial"/>
      <family val="2"/>
    </font>
    <font>
      <i/>
      <vertAlign val="subscript"/>
      <sz val="8"/>
      <name val="Arial"/>
      <family val="2"/>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22">
    <border>
      <left/>
      <right/>
      <top/>
      <bottom/>
      <diagonal/>
    </border>
    <border>
      <left>
        <color indexed="63"/>
      </left>
      <right>
        <color indexed="63"/>
      </right>
      <top style="thin"/>
      <bottom style="hair"/>
    </border>
    <border>
      <left>
        <color indexed="63"/>
      </left>
      <right style="thin"/>
      <top>
        <color indexed="63"/>
      </top>
      <bottom>
        <color indexed="63"/>
      </bottom>
    </border>
    <border>
      <left style="thin">
        <color indexed="55"/>
      </left>
      <right style="thin">
        <color indexed="55"/>
      </right>
      <top style="thin"/>
      <bottom style="hair"/>
    </border>
    <border>
      <left style="thin"/>
      <right style="thin">
        <color indexed="23"/>
      </right>
      <top style="thin"/>
      <bottom>
        <color indexed="63"/>
      </bottom>
    </border>
    <border>
      <left style="thin"/>
      <right style="thin">
        <color indexed="23"/>
      </right>
      <top>
        <color indexed="63"/>
      </top>
      <bottom>
        <color indexed="63"/>
      </bottom>
    </border>
    <border>
      <left>
        <color indexed="63"/>
      </left>
      <right>
        <color indexed="63"/>
      </right>
      <top style="thin">
        <color indexed="55"/>
      </top>
      <bottom>
        <color indexed="63"/>
      </bottom>
    </border>
    <border>
      <left style="thin">
        <color indexed="23"/>
      </left>
      <right style="thin"/>
      <top style="hair">
        <color indexed="23"/>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color indexed="63"/>
      </bottom>
    </border>
    <border>
      <left style="thin">
        <color indexed="23"/>
      </left>
      <right style="thin">
        <color indexed="23"/>
      </right>
      <top style="hair">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hair">
        <color indexed="23"/>
      </bottom>
    </border>
    <border>
      <left>
        <color indexed="63"/>
      </left>
      <right style="thin">
        <color indexed="23"/>
      </right>
      <top>
        <color indexed="63"/>
      </top>
      <bottom>
        <color indexed="63"/>
      </bottom>
    </border>
    <border>
      <left>
        <color indexed="63"/>
      </left>
      <right style="thin"/>
      <top style="hair">
        <color indexed="23"/>
      </top>
      <bottom style="hair">
        <color indexed="23"/>
      </bottom>
    </border>
    <border>
      <left>
        <color indexed="63"/>
      </left>
      <right>
        <color indexed="63"/>
      </right>
      <top style="thin"/>
      <bottom style="hair">
        <color indexed="63"/>
      </bottom>
    </border>
    <border>
      <left style="thin">
        <color indexed="55"/>
      </left>
      <right style="thin">
        <color indexed="55"/>
      </right>
      <top style="thin"/>
      <bottom style="hair">
        <color indexed="63"/>
      </bottom>
    </border>
    <border>
      <left>
        <color indexed="63"/>
      </left>
      <right style="thin"/>
      <top style="hair"/>
      <bottom>
        <color indexed="63"/>
      </bottom>
    </border>
    <border>
      <left style="thin"/>
      <right style="thin">
        <color indexed="23"/>
      </right>
      <top>
        <color indexed="63"/>
      </top>
      <bottom style="thin"/>
    </border>
    <border>
      <left>
        <color indexed="63"/>
      </left>
      <right style="thin"/>
      <top>
        <color indexed="63"/>
      </top>
      <bottom style="hair">
        <color indexed="23"/>
      </bottom>
    </border>
    <border>
      <left>
        <color indexed="63"/>
      </left>
      <right style="thin"/>
      <top style="hair">
        <color indexed="23"/>
      </top>
      <bottom>
        <color indexed="63"/>
      </bottom>
    </border>
    <border>
      <left style="thin">
        <color indexed="23"/>
      </left>
      <right style="thin">
        <color indexed="23"/>
      </right>
      <top>
        <color indexed="63"/>
      </top>
      <bottom style="hair">
        <color indexed="55"/>
      </bottom>
    </border>
    <border>
      <left>
        <color indexed="63"/>
      </left>
      <right>
        <color indexed="63"/>
      </right>
      <top style="hair">
        <color indexed="23"/>
      </top>
      <bottom style="hair">
        <color indexed="23"/>
      </bottom>
    </border>
    <border>
      <left style="thin">
        <color indexed="23"/>
      </left>
      <right style="thin"/>
      <top>
        <color indexed="63"/>
      </top>
      <bottom>
        <color indexed="63"/>
      </bottom>
    </border>
    <border>
      <left>
        <color indexed="63"/>
      </left>
      <right>
        <color indexed="63"/>
      </right>
      <top style="thin"/>
      <bottom>
        <color indexed="63"/>
      </bottom>
    </border>
    <border>
      <left style="thin">
        <color indexed="23"/>
      </left>
      <right style="thin"/>
      <top style="thin"/>
      <bottom style="hair"/>
    </border>
    <border>
      <left style="thin">
        <color indexed="23"/>
      </left>
      <right style="thin"/>
      <top style="thin"/>
      <bottom style="hair">
        <color indexed="63"/>
      </bottom>
    </border>
    <border>
      <left style="thin">
        <color indexed="55"/>
      </left>
      <right style="thin"/>
      <top>
        <color indexed="63"/>
      </top>
      <bottom>
        <color indexed="63"/>
      </bottom>
    </border>
    <border>
      <left>
        <color indexed="63"/>
      </left>
      <right>
        <color indexed="63"/>
      </right>
      <top style="hair">
        <color indexed="23"/>
      </top>
      <bottom style="thin"/>
    </border>
    <border>
      <left>
        <color indexed="63"/>
      </left>
      <right>
        <color indexed="63"/>
      </right>
      <top style="hair">
        <color indexed="63"/>
      </top>
      <bottom style="hair">
        <color indexed="23"/>
      </bottom>
    </border>
    <border>
      <left style="thin">
        <color indexed="55"/>
      </left>
      <right style="thin">
        <color indexed="55"/>
      </right>
      <top style="hair">
        <color indexed="63"/>
      </top>
      <bottom style="hair">
        <color indexed="23"/>
      </bottom>
    </border>
    <border>
      <left>
        <color indexed="63"/>
      </left>
      <right style="thin"/>
      <top style="hair">
        <color indexed="63"/>
      </top>
      <bottom style="hair">
        <color indexed="23"/>
      </bottom>
    </border>
    <border>
      <left>
        <color indexed="63"/>
      </left>
      <right style="thin"/>
      <top style="thin"/>
      <bottom style="hair">
        <color indexed="63"/>
      </bottom>
    </border>
    <border>
      <left style="thin">
        <color indexed="23"/>
      </left>
      <right style="thin">
        <color indexed="23"/>
      </right>
      <top style="hair"/>
      <bottom>
        <color indexed="63"/>
      </bottom>
    </border>
    <border>
      <left style="thin">
        <color indexed="23"/>
      </left>
      <right>
        <color indexed="63"/>
      </right>
      <top>
        <color indexed="63"/>
      </top>
      <bottom>
        <color indexed="63"/>
      </bottom>
    </border>
    <border>
      <left style="thin">
        <color indexed="55"/>
      </left>
      <right>
        <color indexed="63"/>
      </right>
      <top style="hair">
        <color indexed="55"/>
      </top>
      <bottom>
        <color indexed="63"/>
      </bottom>
    </border>
    <border>
      <left>
        <color indexed="63"/>
      </left>
      <right style="thin">
        <color indexed="55"/>
      </right>
      <top style="hair">
        <color indexed="55"/>
      </top>
      <bottom>
        <color indexed="63"/>
      </bottom>
    </border>
    <border>
      <left>
        <color indexed="63"/>
      </left>
      <right style="thin">
        <color indexed="55"/>
      </right>
      <top>
        <color indexed="63"/>
      </top>
      <bottom>
        <color indexed="63"/>
      </bottom>
    </border>
    <border>
      <left style="thin">
        <color indexed="55"/>
      </left>
      <right style="thin">
        <color indexed="55"/>
      </right>
      <top>
        <color indexed="63"/>
      </top>
      <bottom>
        <color indexed="63"/>
      </bottom>
    </border>
    <border>
      <left>
        <color indexed="63"/>
      </left>
      <right>
        <color indexed="63"/>
      </right>
      <top style="hair"/>
      <bottom style="hair">
        <color indexed="23"/>
      </bottom>
    </border>
    <border>
      <left style="thin">
        <color indexed="55"/>
      </left>
      <right style="thin">
        <color indexed="55"/>
      </right>
      <top style="hair"/>
      <bottom style="hair">
        <color indexed="23"/>
      </bottom>
    </border>
    <border>
      <left>
        <color indexed="63"/>
      </left>
      <right style="thin"/>
      <top style="hair"/>
      <bottom style="hair">
        <color indexed="23"/>
      </bottom>
    </border>
    <border>
      <left style="thin">
        <color indexed="55"/>
      </left>
      <right style="thin">
        <color indexed="55"/>
      </right>
      <top>
        <color indexed="63"/>
      </top>
      <bottom style="hair">
        <color indexed="23"/>
      </bottom>
    </border>
    <border>
      <left style="thin">
        <color indexed="55"/>
      </left>
      <right>
        <color indexed="63"/>
      </right>
      <top>
        <color indexed="63"/>
      </top>
      <bottom>
        <color indexed="63"/>
      </bottom>
    </border>
    <border>
      <left>
        <color indexed="63"/>
      </left>
      <right>
        <color indexed="63"/>
      </right>
      <top>
        <color indexed="63"/>
      </top>
      <bottom style="thin"/>
    </border>
    <border>
      <left style="thin">
        <color indexed="23"/>
      </left>
      <right style="thin">
        <color indexed="23"/>
      </right>
      <top style="hair">
        <color indexed="55"/>
      </top>
      <bottom>
        <color indexed="63"/>
      </bottom>
    </border>
    <border>
      <left>
        <color indexed="63"/>
      </left>
      <right>
        <color indexed="63"/>
      </right>
      <top style="hair"/>
      <bottom>
        <color indexed="63"/>
      </bottom>
    </border>
    <border>
      <left>
        <color indexed="63"/>
      </left>
      <right style="thin">
        <color indexed="23"/>
      </right>
      <top style="hair"/>
      <bottom>
        <color indexed="63"/>
      </bottom>
    </border>
    <border>
      <left style="thin">
        <color indexed="23"/>
      </left>
      <right>
        <color indexed="63"/>
      </right>
      <top style="hair">
        <color indexed="23"/>
      </top>
      <bottom>
        <color indexed="63"/>
      </bottom>
    </border>
    <border>
      <left>
        <color indexed="63"/>
      </left>
      <right style="thin">
        <color indexed="55"/>
      </right>
      <top style="hair">
        <color indexed="23"/>
      </top>
      <bottom>
        <color indexed="63"/>
      </bottom>
    </border>
    <border>
      <left style="thin">
        <color indexed="55"/>
      </left>
      <right>
        <color indexed="63"/>
      </right>
      <top style="hair">
        <color indexed="23"/>
      </top>
      <bottom>
        <color indexed="63"/>
      </bottom>
    </border>
    <border>
      <left>
        <color indexed="63"/>
      </left>
      <right style="thin"/>
      <top style="hair">
        <color indexed="23"/>
      </top>
      <bottom style="hair">
        <color indexed="55"/>
      </bottom>
    </border>
    <border>
      <left>
        <color indexed="63"/>
      </left>
      <right>
        <color indexed="63"/>
      </right>
      <top>
        <color indexed="63"/>
      </top>
      <bottom style="hair"/>
    </border>
    <border>
      <left style="thin">
        <color indexed="23"/>
      </left>
      <right style="thin">
        <color indexed="23"/>
      </right>
      <top>
        <color indexed="63"/>
      </top>
      <bottom style="hair"/>
    </border>
    <border>
      <left style="thin">
        <color indexed="23"/>
      </left>
      <right>
        <color indexed="63"/>
      </right>
      <top>
        <color indexed="63"/>
      </top>
      <bottom style="hair"/>
    </border>
    <border>
      <left style="thin">
        <color indexed="23"/>
      </left>
      <right style="thin">
        <color indexed="23"/>
      </right>
      <top>
        <color indexed="63"/>
      </top>
      <bottom style="hair">
        <color indexed="63"/>
      </bottom>
    </border>
    <border>
      <left>
        <color indexed="63"/>
      </left>
      <right style="thin"/>
      <top>
        <color indexed="63"/>
      </top>
      <bottom style="thin"/>
    </border>
    <border>
      <left>
        <color indexed="63"/>
      </left>
      <right style="thin"/>
      <top style="hair">
        <color indexed="23"/>
      </top>
      <bottom style="thin"/>
    </border>
    <border>
      <left style="thin">
        <color indexed="55"/>
      </left>
      <right style="thin">
        <color indexed="55"/>
      </right>
      <top style="hair">
        <color indexed="23"/>
      </top>
      <bottom>
        <color indexed="63"/>
      </bottom>
    </border>
    <border>
      <left style="thin">
        <color indexed="55"/>
      </left>
      <right>
        <color indexed="63"/>
      </right>
      <top>
        <color indexed="63"/>
      </top>
      <bottom style="hair">
        <color indexed="23"/>
      </bottom>
    </border>
    <border>
      <left>
        <color indexed="63"/>
      </left>
      <right style="thin">
        <color indexed="55"/>
      </right>
      <top>
        <color indexed="63"/>
      </top>
      <bottom style="hair">
        <color indexed="23"/>
      </bottom>
    </border>
    <border>
      <left>
        <color indexed="63"/>
      </left>
      <right style="thin">
        <color indexed="23"/>
      </right>
      <top style="hair">
        <color indexed="55"/>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55"/>
      </bottom>
    </border>
    <border>
      <left>
        <color indexed="63"/>
      </left>
      <right style="thin">
        <color indexed="23"/>
      </right>
      <top>
        <color indexed="63"/>
      </top>
      <bottom style="hair">
        <color indexed="55"/>
      </bottom>
    </border>
    <border>
      <left>
        <color indexed="63"/>
      </left>
      <right style="thin">
        <color indexed="23"/>
      </right>
      <top>
        <color indexed="63"/>
      </top>
      <bottom style="hair"/>
    </border>
    <border>
      <left>
        <color indexed="63"/>
      </left>
      <right style="thin">
        <color indexed="55"/>
      </right>
      <top style="hair">
        <color indexed="55"/>
      </top>
      <bottom style="hair">
        <color indexed="55"/>
      </bottom>
    </border>
    <border>
      <left style="thin">
        <color indexed="55"/>
      </left>
      <right>
        <color indexed="63"/>
      </right>
      <top style="hair">
        <color indexed="55"/>
      </top>
      <bottom style="hair">
        <color indexed="55"/>
      </bottom>
    </border>
    <border>
      <left>
        <color indexed="63"/>
      </left>
      <right style="thin">
        <color indexed="55"/>
      </right>
      <top style="thin">
        <color indexed="55"/>
      </top>
      <bottom>
        <color indexed="63"/>
      </bottom>
    </border>
    <border>
      <left>
        <color indexed="63"/>
      </left>
      <right style="thin">
        <color indexed="23"/>
      </right>
      <top style="hair">
        <color indexed="23"/>
      </top>
      <bottom style="hair">
        <color indexed="23"/>
      </bottom>
    </border>
    <border>
      <left style="thin">
        <color indexed="23"/>
      </left>
      <right style="thin"/>
      <top style="thin"/>
      <bottom style="thin">
        <color indexed="55"/>
      </bottom>
    </border>
    <border>
      <left>
        <color indexed="63"/>
      </left>
      <right style="thin">
        <color indexed="55"/>
      </right>
      <top>
        <color indexed="63"/>
      </top>
      <bottom style="hair"/>
    </border>
    <border>
      <left style="thin">
        <color indexed="23"/>
      </left>
      <right style="thin">
        <color indexed="23"/>
      </right>
      <top style="hair">
        <color indexed="23"/>
      </top>
      <bottom style="hair">
        <color indexed="23"/>
      </bottom>
    </border>
    <border>
      <left>
        <color indexed="63"/>
      </left>
      <right style="thin">
        <color indexed="23"/>
      </right>
      <top style="hair">
        <color indexed="23"/>
      </top>
      <bottom>
        <color indexed="63"/>
      </bottom>
    </border>
    <border>
      <left style="thin">
        <color indexed="23"/>
      </left>
      <right>
        <color indexed="63"/>
      </right>
      <top>
        <color indexed="63"/>
      </top>
      <bottom style="hair">
        <color indexed="23"/>
      </bottom>
    </border>
    <border>
      <left>
        <color indexed="63"/>
      </left>
      <right style="thin">
        <color indexed="23"/>
      </right>
      <top>
        <color indexed="63"/>
      </top>
      <bottom style="hair">
        <color indexed="23"/>
      </bottom>
    </border>
    <border>
      <left style="thin">
        <color indexed="55"/>
      </left>
      <right style="thin">
        <color indexed="55"/>
      </right>
      <top style="hair">
        <color indexed="23"/>
      </top>
      <bottom style="hair">
        <color indexed="23"/>
      </bottom>
    </border>
    <border>
      <left style="thin">
        <color indexed="55"/>
      </left>
      <right style="thin"/>
      <top>
        <color indexed="63"/>
      </top>
      <bottom style="hair">
        <color indexed="23"/>
      </bottom>
    </border>
    <border>
      <left>
        <color indexed="63"/>
      </left>
      <right style="thin"/>
      <top>
        <color indexed="63"/>
      </top>
      <bottom style="hair">
        <color indexed="63"/>
      </bottom>
    </border>
    <border>
      <left>
        <color indexed="63"/>
      </left>
      <right style="thin"/>
      <top>
        <color indexed="63"/>
      </top>
      <bottom style="hair"/>
    </border>
    <border>
      <left style="thin">
        <color indexed="23"/>
      </left>
      <right style="thin"/>
      <top style="hair"/>
      <bottom>
        <color indexed="63"/>
      </bottom>
    </border>
    <border>
      <left>
        <color indexed="63"/>
      </left>
      <right>
        <color indexed="63"/>
      </right>
      <top>
        <color indexed="63"/>
      </top>
      <bottom style="hair">
        <color indexed="63"/>
      </bottom>
    </border>
    <border>
      <left>
        <color indexed="63"/>
      </left>
      <right style="thin">
        <color indexed="23"/>
      </right>
      <top>
        <color indexed="63"/>
      </top>
      <bottom style="hair">
        <color indexed="63"/>
      </bottom>
    </border>
    <border>
      <left style="thin">
        <color indexed="23"/>
      </left>
      <right>
        <color indexed="63"/>
      </right>
      <top>
        <color indexed="63"/>
      </top>
      <bottom style="hair">
        <color indexed="63"/>
      </bottom>
    </border>
    <border>
      <left style="thin">
        <color indexed="23"/>
      </left>
      <right>
        <color indexed="63"/>
      </right>
      <top style="hair">
        <color indexed="23"/>
      </top>
      <bottom style="hair">
        <color indexed="23"/>
      </bottom>
    </border>
    <border>
      <left style="thin">
        <color indexed="23"/>
      </left>
      <right>
        <color indexed="63"/>
      </right>
      <top style="hair">
        <color indexed="63"/>
      </top>
      <bottom style="hair">
        <color indexed="23"/>
      </bottom>
    </border>
    <border>
      <left>
        <color indexed="63"/>
      </left>
      <right style="thin">
        <color indexed="23"/>
      </right>
      <top style="hair">
        <color indexed="63"/>
      </top>
      <bottom style="hair">
        <color indexed="23"/>
      </bottom>
    </border>
    <border>
      <left style="thin">
        <color indexed="23"/>
      </left>
      <right>
        <color indexed="63"/>
      </right>
      <top style="hair"/>
      <bottom>
        <color indexed="63"/>
      </bottom>
    </border>
    <border>
      <left style="thin">
        <color indexed="55"/>
      </left>
      <right>
        <color indexed="63"/>
      </right>
      <top style="hair">
        <color indexed="63"/>
      </top>
      <bottom style="hair">
        <color indexed="23"/>
      </bottom>
    </border>
    <border>
      <left style="thin">
        <color indexed="55"/>
      </left>
      <right>
        <color indexed="63"/>
      </right>
      <top>
        <color indexed="63"/>
      </top>
      <bottom style="hair">
        <color indexed="55"/>
      </bottom>
    </border>
    <border>
      <left>
        <color indexed="63"/>
      </left>
      <right style="thin">
        <color indexed="55"/>
      </right>
      <top>
        <color indexed="63"/>
      </top>
      <bottom style="hair">
        <color indexed="55"/>
      </bottom>
    </border>
    <border>
      <left style="thin">
        <color indexed="23"/>
      </left>
      <right>
        <color indexed="63"/>
      </right>
      <top style="hair">
        <color indexed="55"/>
      </top>
      <bottom>
        <color indexed="63"/>
      </bottom>
    </border>
    <border>
      <left style="thin">
        <color indexed="55"/>
      </left>
      <right>
        <color indexed="63"/>
      </right>
      <top style="thin"/>
      <bottom style="hair">
        <color indexed="63"/>
      </bottom>
    </border>
    <border>
      <left>
        <color indexed="63"/>
      </left>
      <right style="thin">
        <color indexed="23"/>
      </right>
      <top style="thin"/>
      <bottom style="hair">
        <color indexed="63"/>
      </bottom>
    </border>
    <border>
      <left style="thin">
        <color indexed="55"/>
      </left>
      <right>
        <color indexed="63"/>
      </right>
      <top style="thin"/>
      <bottom style="thin">
        <color indexed="55"/>
      </bottom>
    </border>
    <border>
      <left>
        <color indexed="63"/>
      </left>
      <right>
        <color indexed="63"/>
      </right>
      <top style="thin"/>
      <bottom style="thin">
        <color indexed="55"/>
      </bottom>
    </border>
    <border>
      <left>
        <color indexed="63"/>
      </left>
      <right>
        <color indexed="63"/>
      </right>
      <top style="hair">
        <color indexed="55"/>
      </top>
      <bottom style="thin">
        <color indexed="55"/>
      </bottom>
    </border>
    <border>
      <left>
        <color indexed="63"/>
      </left>
      <right style="thin"/>
      <top style="hair">
        <color indexed="55"/>
      </top>
      <bottom style="thin">
        <color indexed="55"/>
      </bottom>
    </border>
    <border>
      <left style="thin">
        <color indexed="55"/>
      </left>
      <right>
        <color indexed="63"/>
      </right>
      <top style="thin">
        <color indexed="55"/>
      </top>
      <bottom>
        <color indexed="63"/>
      </bottom>
    </border>
    <border>
      <left>
        <color indexed="63"/>
      </left>
      <right style="thin"/>
      <top style="thin">
        <color indexed="55"/>
      </top>
      <bottom>
        <color indexed="63"/>
      </bottom>
    </border>
    <border>
      <left>
        <color indexed="63"/>
      </left>
      <right style="thin">
        <color indexed="55"/>
      </right>
      <top style="thin"/>
      <bottom style="thin">
        <color indexed="55"/>
      </bottom>
    </border>
    <border>
      <left style="thin">
        <color indexed="55"/>
      </left>
      <right>
        <color indexed="63"/>
      </right>
      <top style="thin"/>
      <bottom style="hair"/>
    </border>
    <border>
      <left>
        <color indexed="63"/>
      </left>
      <right style="thin">
        <color indexed="23"/>
      </right>
      <top style="thin"/>
      <bottom style="hair"/>
    </border>
    <border>
      <left style="thin">
        <color indexed="23"/>
      </left>
      <right>
        <color indexed="63"/>
      </right>
      <top style="thin"/>
      <bottom style="hair">
        <color indexed="63"/>
      </bottom>
    </border>
    <border>
      <left style="thin">
        <color indexed="23"/>
      </left>
      <right>
        <color indexed="63"/>
      </right>
      <top style="hair"/>
      <bottom style="thin"/>
    </border>
    <border>
      <left>
        <color indexed="63"/>
      </left>
      <right>
        <color indexed="63"/>
      </right>
      <top style="hair"/>
      <bottom style="thin"/>
    </border>
    <border>
      <left>
        <color indexed="63"/>
      </left>
      <right style="thin">
        <color indexed="23"/>
      </right>
      <top style="hair"/>
      <bottom style="thin"/>
    </border>
    <border>
      <left>
        <color indexed="63"/>
      </left>
      <right style="thin"/>
      <top style="hair"/>
      <bottom style="thin"/>
    </border>
    <border>
      <left style="thin">
        <color indexed="23"/>
      </left>
      <right>
        <color indexed="63"/>
      </right>
      <top style="thin"/>
      <bottom style="hair"/>
    </border>
    <border>
      <left style="thin">
        <color indexed="55"/>
      </left>
      <right>
        <color indexed="63"/>
      </right>
      <top style="hair"/>
      <bottom style="hair">
        <color indexed="23"/>
      </bottom>
    </border>
    <border>
      <left>
        <color indexed="63"/>
      </left>
      <right style="thin">
        <color indexed="55"/>
      </right>
      <top style="hair"/>
      <bottom style="hair">
        <color indexed="23"/>
      </bottom>
    </border>
    <border>
      <left style="thin">
        <color indexed="55"/>
      </left>
      <right style="thin">
        <color indexed="55"/>
      </right>
      <top>
        <color indexed="63"/>
      </top>
      <bottom style="hair">
        <color indexed="55"/>
      </bottom>
    </border>
    <border>
      <left style="thin">
        <color indexed="23"/>
      </left>
      <right>
        <color indexed="63"/>
      </right>
      <top style="hair"/>
      <bottom style="hair"/>
    </border>
    <border>
      <left>
        <color indexed="63"/>
      </left>
      <right>
        <color indexed="63"/>
      </right>
      <top style="hair"/>
      <bottom style="hair"/>
    </border>
    <border>
      <left>
        <color indexed="63"/>
      </left>
      <right style="thin">
        <color indexed="23"/>
      </right>
      <top style="hair"/>
      <bottom style="hair"/>
    </border>
    <border>
      <left>
        <color indexed="63"/>
      </left>
      <right>
        <color indexed="63"/>
      </right>
      <top style="hair">
        <color indexed="23"/>
      </top>
      <bottom style="hair"/>
    </border>
    <border>
      <left style="thin">
        <color indexed="55"/>
      </left>
      <right style="thin">
        <color indexed="55"/>
      </right>
      <top style="hair">
        <color indexed="55"/>
      </top>
      <bottom>
        <color indexed="63"/>
      </bottom>
    </border>
    <border>
      <left>
        <color indexed="63"/>
      </left>
      <right style="thin">
        <color indexed="55"/>
      </right>
      <top style="hair"/>
      <bottom style="thin"/>
    </border>
    <border>
      <left style="thin">
        <color indexed="23"/>
      </left>
      <right>
        <color indexed="63"/>
      </right>
      <top style="thin">
        <color indexed="55"/>
      </top>
      <bottom>
        <color indexed="63"/>
      </bottom>
    </border>
    <border>
      <left style="thin">
        <color indexed="55"/>
      </left>
      <right>
        <color indexed="63"/>
      </right>
      <top style="hair">
        <color indexed="23"/>
      </top>
      <bottom style="hair">
        <color indexed="23"/>
      </bottom>
    </border>
    <border>
      <left>
        <color indexed="63"/>
      </left>
      <right style="thin">
        <color indexed="55"/>
      </right>
      <top style="hair">
        <color indexed="23"/>
      </top>
      <bottom style="hair">
        <color indexed="23"/>
      </bottom>
    </border>
    <border>
      <left>
        <color indexed="63"/>
      </left>
      <right>
        <color indexed="63"/>
      </right>
      <top style="hair">
        <color indexed="23"/>
      </top>
      <bottom style="hair">
        <color indexed="55"/>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281">
    <xf numFmtId="0" fontId="0" fillId="0" borderId="0" xfId="0" applyAlignment="1">
      <alignment/>
    </xf>
    <xf numFmtId="0" fontId="4" fillId="0" borderId="0"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4" fillId="0" borderId="0" xfId="0" applyFont="1" applyBorder="1" applyAlignment="1" applyProtection="1">
      <alignment horizontal="center"/>
      <protection hidden="1"/>
    </xf>
    <xf numFmtId="0" fontId="4" fillId="0" borderId="0" xfId="0" applyFont="1" applyFill="1" applyBorder="1" applyAlignment="1" applyProtection="1">
      <alignment horizontal="center" vertical="center"/>
      <protection hidden="1"/>
    </xf>
    <xf numFmtId="173" fontId="4" fillId="0" borderId="0" xfId="0" applyNumberFormat="1" applyFont="1" applyFill="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0" fontId="4" fillId="0" borderId="0" xfId="20" applyAlignment="1" applyProtection="1">
      <alignment vertical="center"/>
      <protection hidden="1"/>
    </xf>
    <xf numFmtId="0" fontId="9" fillId="0" borderId="0" xfId="20" applyFont="1" applyAlignment="1" applyProtection="1">
      <alignment horizontal="center" vertical="center"/>
      <protection hidden="1"/>
    </xf>
    <xf numFmtId="0" fontId="9" fillId="0" borderId="0" xfId="20" applyFont="1" applyAlignment="1" applyProtection="1">
      <alignment vertical="center"/>
      <protection hidden="1"/>
    </xf>
    <xf numFmtId="0" fontId="4" fillId="0" borderId="0" xfId="20" applyFont="1" applyAlignment="1" applyProtection="1">
      <alignment vertical="center"/>
      <protection hidden="1"/>
    </xf>
    <xf numFmtId="0" fontId="9" fillId="0" borderId="0" xfId="20" applyFont="1" applyAlignment="1" applyProtection="1">
      <alignment horizontal="center"/>
      <protection hidden="1"/>
    </xf>
    <xf numFmtId="0" fontId="9" fillId="0" borderId="0" xfId="20" applyFont="1" applyAlignment="1" applyProtection="1">
      <alignment/>
      <protection hidden="1"/>
    </xf>
    <xf numFmtId="0" fontId="4" fillId="0" borderId="0" xfId="20" applyFont="1" applyAlignment="1" applyProtection="1">
      <alignment/>
      <protection hidden="1"/>
    </xf>
    <xf numFmtId="0" fontId="4" fillId="0" borderId="0" xfId="20" applyFont="1" applyBorder="1" applyAlignment="1" applyProtection="1">
      <alignment horizontal="left" vertical="center"/>
      <protection hidden="1"/>
    </xf>
    <xf numFmtId="0" fontId="4" fillId="0" borderId="0" xfId="20" applyFont="1" applyBorder="1" applyAlignment="1" applyProtection="1">
      <alignment horizontal="center"/>
      <protection hidden="1"/>
    </xf>
    <xf numFmtId="0" fontId="4" fillId="0" borderId="0" xfId="20" applyAlignment="1" applyProtection="1">
      <alignment/>
      <protection hidden="1"/>
    </xf>
    <xf numFmtId="0" fontId="4" fillId="0" borderId="0" xfId="20" applyFont="1" applyAlignment="1" applyProtection="1">
      <alignment horizontal="center"/>
      <protection hidden="1"/>
    </xf>
    <xf numFmtId="0" fontId="4" fillId="0" borderId="0" xfId="20" applyFont="1" applyFill="1" applyBorder="1" applyAlignment="1" applyProtection="1">
      <alignment horizontal="center" vertical="center"/>
      <protection hidden="1"/>
    </xf>
    <xf numFmtId="0" fontId="1" fillId="0" borderId="0" xfId="20" applyFont="1" applyBorder="1" applyAlignment="1" applyProtection="1">
      <alignment horizontal="right"/>
      <protection hidden="1"/>
    </xf>
    <xf numFmtId="0" fontId="4" fillId="0" borderId="0" xfId="20" applyBorder="1" applyAlignment="1" applyProtection="1">
      <alignment/>
      <protection hidden="1"/>
    </xf>
    <xf numFmtId="0" fontId="4" fillId="0" borderId="0" xfId="20" applyBorder="1" applyAlignment="1" applyProtection="1">
      <alignment vertical="center"/>
      <protection hidden="1"/>
    </xf>
    <xf numFmtId="0" fontId="5" fillId="0" borderId="0" xfId="20" applyFont="1" applyBorder="1" applyAlignment="1" applyProtection="1">
      <alignment horizontal="left" vertical="center"/>
      <protection hidden="1"/>
    </xf>
    <xf numFmtId="0" fontId="21" fillId="0" borderId="0" xfId="20" applyNumberFormat="1" applyFont="1" applyAlignment="1" applyProtection="1">
      <alignment horizontal="center" shrinkToFit="1"/>
      <protection hidden="1"/>
    </xf>
    <xf numFmtId="49" fontId="2" fillId="0" borderId="1" xfId="20" applyNumberFormat="1" applyFont="1" applyFill="1" applyBorder="1" applyAlignment="1" applyProtection="1">
      <alignment horizontal="left" vertical="center"/>
      <protection hidden="1"/>
    </xf>
    <xf numFmtId="0" fontId="4" fillId="0" borderId="1" xfId="20" applyBorder="1" applyAlignment="1" applyProtection="1">
      <alignment horizontal="left" vertical="center"/>
      <protection hidden="1"/>
    </xf>
    <xf numFmtId="0" fontId="4" fillId="0" borderId="2" xfId="20" applyBorder="1" applyAlignment="1" applyProtection="1">
      <alignment vertical="center"/>
      <protection hidden="1"/>
    </xf>
    <xf numFmtId="0" fontId="0" fillId="0" borderId="0" xfId="20" applyFont="1" applyBorder="1" applyAlignment="1" applyProtection="1">
      <alignment horizontal="right" vertical="center"/>
      <protection hidden="1"/>
    </xf>
    <xf numFmtId="0" fontId="2" fillId="0" borderId="3" xfId="20" applyFont="1" applyBorder="1" applyAlignment="1" applyProtection="1">
      <alignment horizontal="center" vertical="center" shrinkToFit="1"/>
      <protection hidden="1"/>
    </xf>
    <xf numFmtId="0" fontId="4" fillId="2" borderId="0" xfId="0" applyFont="1" applyFill="1" applyBorder="1" applyAlignment="1" applyProtection="1">
      <alignment vertical="center"/>
      <protection hidden="1"/>
    </xf>
    <xf numFmtId="0" fontId="4" fillId="2" borderId="0" xfId="0" applyFont="1" applyFill="1" applyBorder="1" applyAlignment="1" applyProtection="1">
      <alignment/>
      <protection hidden="1"/>
    </xf>
    <xf numFmtId="0" fontId="4" fillId="2" borderId="0" xfId="20" applyFont="1" applyFill="1" applyAlignment="1" applyProtection="1">
      <alignment vertical="center"/>
      <protection hidden="1"/>
    </xf>
    <xf numFmtId="49" fontId="4" fillId="2" borderId="0" xfId="0" applyNumberFormat="1" applyFont="1" applyFill="1" applyBorder="1" applyAlignment="1" applyProtection="1">
      <alignment vertical="center"/>
      <protection hidden="1"/>
    </xf>
    <xf numFmtId="49" fontId="4" fillId="2" borderId="0" xfId="0" applyNumberFormat="1" applyFont="1" applyFill="1" applyAlignment="1" applyProtection="1">
      <alignment vertical="center"/>
      <protection hidden="1"/>
    </xf>
    <xf numFmtId="49" fontId="4" fillId="2" borderId="0" xfId="0" applyNumberFormat="1" applyFont="1" applyFill="1" applyAlignment="1" applyProtection="1">
      <alignment/>
      <protection hidden="1"/>
    </xf>
    <xf numFmtId="0" fontId="21" fillId="0" borderId="4" xfId="20" applyNumberFormat="1" applyFont="1" applyBorder="1" applyAlignment="1" applyProtection="1">
      <alignment horizontal="center" vertical="center"/>
      <protection hidden="1"/>
    </xf>
    <xf numFmtId="0" fontId="21" fillId="0" borderId="5" xfId="20" applyNumberFormat="1" applyFont="1" applyBorder="1" applyAlignment="1" applyProtection="1">
      <alignment horizontal="center" vertical="center"/>
      <protection hidden="1"/>
    </xf>
    <xf numFmtId="0" fontId="4" fillId="0" borderId="6" xfId="20" applyFont="1" applyBorder="1" applyAlignment="1" applyProtection="1">
      <alignment vertical="center"/>
      <protection hidden="1"/>
    </xf>
    <xf numFmtId="0" fontId="4" fillId="0" borderId="0" xfId="20" applyFont="1" applyBorder="1" applyAlignment="1" applyProtection="1">
      <alignment vertical="center"/>
      <protection hidden="1"/>
    </xf>
    <xf numFmtId="0" fontId="4" fillId="0" borderId="0" xfId="20" applyFill="1" applyBorder="1" applyAlignment="1" applyProtection="1">
      <alignment vertical="center"/>
      <protection hidden="1"/>
    </xf>
    <xf numFmtId="49" fontId="9" fillId="2" borderId="0" xfId="0" applyNumberFormat="1" applyFont="1" applyFill="1" applyBorder="1" applyAlignment="1" applyProtection="1">
      <alignment vertical="center"/>
      <protection hidden="1"/>
    </xf>
    <xf numFmtId="49" fontId="5" fillId="2" borderId="0" xfId="0" applyNumberFormat="1" applyFont="1" applyFill="1" applyBorder="1" applyAlignment="1" applyProtection="1">
      <alignment horizontal="left" vertical="center"/>
      <protection hidden="1"/>
    </xf>
    <xf numFmtId="49" fontId="9" fillId="2" borderId="0" xfId="0" applyNumberFormat="1" applyFont="1" applyFill="1" applyAlignment="1" applyProtection="1">
      <alignment vertical="center"/>
      <protection hidden="1"/>
    </xf>
    <xf numFmtId="49" fontId="2" fillId="2" borderId="0" xfId="0" applyNumberFormat="1" applyFont="1" applyFill="1" applyAlignment="1" applyProtection="1">
      <alignment vertical="center"/>
      <protection hidden="1"/>
    </xf>
    <xf numFmtId="0" fontId="9" fillId="2" borderId="0" xfId="0" applyFont="1" applyFill="1" applyAlignment="1" applyProtection="1">
      <alignment horizontal="left" vertical="center"/>
      <protection hidden="1"/>
    </xf>
    <xf numFmtId="0" fontId="4" fillId="2" borderId="0" xfId="20" applyFill="1" applyAlignment="1" applyProtection="1">
      <alignment vertical="center"/>
      <protection hidden="1"/>
    </xf>
    <xf numFmtId="0" fontId="1" fillId="0" borderId="7" xfId="20" applyNumberFormat="1" applyFont="1" applyFill="1" applyBorder="1" applyAlignment="1" applyProtection="1">
      <alignment horizontal="center" vertical="center" shrinkToFit="1"/>
      <protection hidden="1"/>
    </xf>
    <xf numFmtId="0" fontId="17"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173" fontId="3" fillId="0" borderId="0" xfId="0" applyNumberFormat="1"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0" fontId="19" fillId="0" borderId="0" xfId="0" applyNumberFormat="1" applyFont="1" applyFill="1" applyBorder="1" applyAlignment="1" applyProtection="1">
      <alignment horizontal="center" vertical="center"/>
      <protection hidden="1"/>
    </xf>
    <xf numFmtId="0" fontId="2" fillId="0" borderId="0" xfId="0" applyNumberFormat="1" applyFont="1" applyFill="1" applyBorder="1" applyAlignment="1" applyProtection="1">
      <alignment horizontal="center" vertical="center"/>
      <protection hidden="1"/>
    </xf>
    <xf numFmtId="0" fontId="4" fillId="0" borderId="0"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center"/>
      <protection hidden="1"/>
    </xf>
    <xf numFmtId="173" fontId="4" fillId="0" borderId="0" xfId="0" applyNumberFormat="1" applyFont="1" applyFill="1" applyBorder="1" applyAlignment="1" applyProtection="1">
      <alignment horizontal="center"/>
      <protection hidden="1"/>
    </xf>
    <xf numFmtId="173" fontId="4" fillId="0" borderId="0" xfId="0" applyNumberFormat="1" applyFont="1" applyBorder="1" applyAlignment="1" applyProtection="1">
      <alignment horizontal="center"/>
      <protection hidden="1"/>
    </xf>
    <xf numFmtId="0" fontId="27" fillId="0" borderId="0" xfId="0" applyFont="1" applyFill="1" applyBorder="1" applyAlignment="1" applyProtection="1">
      <alignment horizontal="center" vertical="center"/>
      <protection hidden="1"/>
    </xf>
    <xf numFmtId="0" fontId="27" fillId="0" borderId="0" xfId="0" applyNumberFormat="1" applyFont="1" applyFill="1" applyBorder="1" applyAlignment="1" applyProtection="1">
      <alignment horizontal="center" vertical="center"/>
      <protection hidden="1"/>
    </xf>
    <xf numFmtId="0" fontId="4" fillId="0" borderId="8" xfId="20" applyFont="1" applyBorder="1" applyAlignment="1" applyProtection="1">
      <alignment vertical="center"/>
      <protection hidden="1"/>
    </xf>
    <xf numFmtId="0" fontId="4" fillId="0" borderId="2" xfId="20" applyFont="1" applyBorder="1" applyAlignment="1" applyProtection="1">
      <alignment horizontal="center"/>
      <protection hidden="1"/>
    </xf>
    <xf numFmtId="0" fontId="4" fillId="0" borderId="9" xfId="20" applyBorder="1" applyAlignment="1" applyProtection="1">
      <alignment vertical="center"/>
      <protection hidden="1"/>
    </xf>
    <xf numFmtId="0" fontId="4" fillId="0" borderId="0" xfId="20" applyFont="1" applyFill="1" applyBorder="1" applyAlignment="1" applyProtection="1">
      <alignment horizontal="left" vertical="center"/>
      <protection hidden="1"/>
    </xf>
    <xf numFmtId="0" fontId="4" fillId="0" borderId="0" xfId="20" applyFont="1" applyFill="1" applyBorder="1" applyAlignment="1" applyProtection="1">
      <alignment horizontal="center" vertical="center"/>
      <protection hidden="1"/>
    </xf>
    <xf numFmtId="0" fontId="4" fillId="0" borderId="0" xfId="20" applyFont="1" applyFill="1" applyBorder="1" applyAlignment="1" applyProtection="1">
      <alignment horizontal="right" vertical="center"/>
      <protection hidden="1"/>
    </xf>
    <xf numFmtId="173" fontId="1" fillId="0" borderId="0" xfId="20" applyNumberFormat="1" applyFont="1" applyFill="1" applyBorder="1" applyAlignment="1" applyProtection="1">
      <alignment horizontal="center" vertical="center"/>
      <protection hidden="1"/>
    </xf>
    <xf numFmtId="0" fontId="17" fillId="0" borderId="0" xfId="20" applyFont="1" applyFill="1" applyBorder="1" applyAlignment="1" applyProtection="1">
      <alignment horizontal="right" vertical="center"/>
      <protection hidden="1"/>
    </xf>
    <xf numFmtId="0" fontId="17" fillId="0" borderId="0" xfId="20" applyFont="1" applyFill="1" applyBorder="1" applyAlignment="1" applyProtection="1">
      <alignment horizontal="left" vertical="center"/>
      <protection hidden="1"/>
    </xf>
    <xf numFmtId="16" fontId="1" fillId="0" borderId="0" xfId="20" applyNumberFormat="1" applyFont="1" applyFill="1" applyBorder="1" applyAlignment="1" applyProtection="1">
      <alignment horizontal="right" vertical="center"/>
      <protection hidden="1"/>
    </xf>
    <xf numFmtId="0" fontId="4" fillId="0" borderId="0" xfId="0" applyFont="1" applyBorder="1" applyAlignment="1" applyProtection="1" quotePrefix="1">
      <alignment horizontal="center" vertical="center"/>
      <protection hidden="1"/>
    </xf>
    <xf numFmtId="0" fontId="4" fillId="0" borderId="10" xfId="0" applyFont="1" applyBorder="1" applyAlignment="1" applyProtection="1">
      <alignment horizontal="center" vertical="center" shrinkToFit="1"/>
      <protection hidden="1"/>
    </xf>
    <xf numFmtId="0" fontId="4" fillId="0" borderId="11" xfId="0" applyFont="1" applyBorder="1" applyAlignment="1" applyProtection="1">
      <alignment horizontal="center" vertical="center" shrinkToFit="1"/>
      <protection hidden="1"/>
    </xf>
    <xf numFmtId="0" fontId="4" fillId="0" borderId="12" xfId="0" applyFont="1" applyBorder="1" applyAlignment="1" applyProtection="1">
      <alignment horizontal="center" vertical="center" shrinkToFit="1"/>
      <protection hidden="1"/>
    </xf>
    <xf numFmtId="0" fontId="4" fillId="0" borderId="2" xfId="20" applyFont="1" applyBorder="1" applyAlignment="1" applyProtection="1">
      <alignment horizontal="center" vertical="center"/>
      <protection hidden="1"/>
    </xf>
    <xf numFmtId="0" fontId="0" fillId="0" borderId="0" xfId="20" applyFont="1" applyBorder="1" applyAlignment="1" applyProtection="1">
      <alignment horizontal="center" vertical="center" shrinkToFit="1"/>
      <protection hidden="1"/>
    </xf>
    <xf numFmtId="0" fontId="4" fillId="0" borderId="0" xfId="20" applyFont="1" applyBorder="1" applyAlignment="1" applyProtection="1">
      <alignment horizontal="center" vertical="center"/>
      <protection hidden="1"/>
    </xf>
    <xf numFmtId="0" fontId="4" fillId="0" borderId="13" xfId="20" applyFont="1" applyBorder="1" applyAlignment="1" applyProtection="1">
      <alignment horizontal="center" vertical="center"/>
      <protection hidden="1"/>
    </xf>
    <xf numFmtId="0" fontId="1" fillId="0" borderId="14" xfId="20" applyNumberFormat="1" applyFont="1" applyFill="1" applyBorder="1" applyAlignment="1" applyProtection="1">
      <alignment horizontal="center" vertical="center" shrinkToFit="1"/>
      <protection hidden="1"/>
    </xf>
    <xf numFmtId="49" fontId="2" fillId="0" borderId="15" xfId="20" applyNumberFormat="1" applyFont="1" applyFill="1" applyBorder="1" applyAlignment="1" applyProtection="1">
      <alignment horizontal="left" vertical="center"/>
      <protection hidden="1"/>
    </xf>
    <xf numFmtId="0" fontId="4" fillId="0" borderId="15" xfId="20" applyBorder="1" applyAlignment="1" applyProtection="1">
      <alignment horizontal="left" vertical="center"/>
      <protection hidden="1"/>
    </xf>
    <xf numFmtId="0" fontId="2" fillId="0" borderId="16" xfId="20" applyFont="1" applyBorder="1" applyAlignment="1" applyProtection="1">
      <alignment horizontal="center" vertical="center" shrinkToFit="1"/>
      <protection hidden="1"/>
    </xf>
    <xf numFmtId="0" fontId="4" fillId="0" borderId="17" xfId="20" applyFont="1" applyBorder="1" applyAlignment="1" applyProtection="1">
      <alignment horizontal="center" vertical="center"/>
      <protection hidden="1"/>
    </xf>
    <xf numFmtId="0" fontId="21" fillId="0" borderId="18" xfId="20" applyNumberFormat="1" applyFont="1" applyBorder="1" applyAlignment="1" applyProtection="1">
      <alignment horizontal="center" vertical="center"/>
      <protection hidden="1"/>
    </xf>
    <xf numFmtId="0" fontId="4" fillId="0" borderId="19" xfId="20" applyFont="1" applyBorder="1" applyAlignment="1" applyProtection="1">
      <alignment horizontal="center" vertical="center"/>
      <protection hidden="1"/>
    </xf>
    <xf numFmtId="0" fontId="4" fillId="0" borderId="9" xfId="20" applyFont="1" applyBorder="1" applyAlignment="1" applyProtection="1">
      <alignment horizontal="center" vertical="center"/>
      <protection hidden="1"/>
    </xf>
    <xf numFmtId="0" fontId="4" fillId="0" borderId="20" xfId="20" applyFont="1" applyBorder="1" applyAlignment="1" applyProtection="1">
      <alignment horizontal="center" vertical="center"/>
      <protection hidden="1"/>
    </xf>
    <xf numFmtId="0" fontId="4" fillId="0" borderId="21" xfId="20" applyFont="1" applyBorder="1" applyAlignment="1" applyProtection="1">
      <alignment horizontal="center" vertical="center"/>
      <protection hidden="1"/>
    </xf>
    <xf numFmtId="0" fontId="4" fillId="0" borderId="11" xfId="20" applyFont="1" applyBorder="1" applyAlignment="1" applyProtection="1">
      <alignment horizontal="center" vertical="center"/>
      <protection hidden="1"/>
    </xf>
    <xf numFmtId="0" fontId="4" fillId="0" borderId="12" xfId="20" applyFont="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0" borderId="0" xfId="0" applyFont="1" applyBorder="1" applyAlignment="1" applyProtection="1">
      <alignment horizontal="center"/>
      <protection hidden="1"/>
    </xf>
    <xf numFmtId="0" fontId="9" fillId="2" borderId="0" xfId="0" applyFont="1" applyFill="1" applyAlignment="1" applyProtection="1">
      <alignment horizontal="left" vertical="top"/>
      <protection hidden="1"/>
    </xf>
    <xf numFmtId="0" fontId="4" fillId="0" borderId="0" xfId="20" applyAlignment="1" applyProtection="1">
      <alignment vertical="top"/>
      <protection hidden="1"/>
    </xf>
    <xf numFmtId="0" fontId="9" fillId="0" borderId="0" xfId="20" applyFont="1" applyAlignment="1" applyProtection="1">
      <alignment horizontal="center" vertical="top"/>
      <protection hidden="1"/>
    </xf>
    <xf numFmtId="0" fontId="9" fillId="0" borderId="0" xfId="20" applyFont="1" applyAlignment="1" applyProtection="1">
      <alignment vertical="top"/>
      <protection hidden="1"/>
    </xf>
    <xf numFmtId="0" fontId="4" fillId="0" borderId="0" xfId="20" applyFont="1" applyAlignment="1" applyProtection="1">
      <alignment vertical="top"/>
      <protection hidden="1"/>
    </xf>
    <xf numFmtId="0" fontId="9" fillId="0" borderId="22" xfId="20" applyFont="1" applyBorder="1" applyAlignment="1" applyProtection="1">
      <alignment horizontal="center" vertical="center"/>
      <protection hidden="1"/>
    </xf>
    <xf numFmtId="0" fontId="4" fillId="0" borderId="22" xfId="20" applyBorder="1" applyAlignment="1" applyProtection="1">
      <alignment vertical="center"/>
      <protection hidden="1"/>
    </xf>
    <xf numFmtId="0" fontId="4" fillId="0" borderId="14" xfId="20" applyBorder="1" applyAlignment="1" applyProtection="1">
      <alignment vertical="center"/>
      <protection hidden="1"/>
    </xf>
    <xf numFmtId="0" fontId="1" fillId="0" borderId="22" xfId="20" applyFont="1" applyBorder="1" applyAlignment="1" applyProtection="1">
      <alignment horizontal="left" vertical="center" shrinkToFit="1"/>
      <protection hidden="1"/>
    </xf>
    <xf numFmtId="0" fontId="4" fillId="0" borderId="14" xfId="20" applyFont="1" applyBorder="1" applyAlignment="1" applyProtection="1">
      <alignment horizontal="center" vertical="center"/>
      <protection hidden="1"/>
    </xf>
    <xf numFmtId="173" fontId="1" fillId="2" borderId="0" xfId="20" applyNumberFormat="1" applyFont="1" applyFill="1" applyBorder="1" applyAlignment="1" applyProtection="1">
      <alignment horizontal="center" vertical="center" shrinkToFit="1"/>
      <protection hidden="1"/>
    </xf>
    <xf numFmtId="0" fontId="5" fillId="2" borderId="0" xfId="20" applyFont="1" applyFill="1" applyBorder="1" applyAlignment="1" applyProtection="1">
      <alignment horizontal="center" vertical="center"/>
      <protection hidden="1"/>
    </xf>
    <xf numFmtId="0" fontId="4" fillId="0" borderId="23" xfId="20" applyFont="1" applyBorder="1" applyAlignment="1" applyProtection="1">
      <alignment horizontal="center" vertical="center"/>
      <protection hidden="1"/>
    </xf>
    <xf numFmtId="0" fontId="28" fillId="0" borderId="0" xfId="20" applyFont="1" applyAlignment="1" applyProtection="1">
      <alignment horizontal="center" vertical="center"/>
      <protection hidden="1"/>
    </xf>
    <xf numFmtId="0" fontId="28" fillId="0" borderId="0" xfId="20" applyFont="1" applyAlignment="1" applyProtection="1">
      <alignment horizontal="center"/>
      <protection hidden="1"/>
    </xf>
    <xf numFmtId="0" fontId="28" fillId="0" borderId="0" xfId="20" applyFont="1" applyAlignment="1" applyProtection="1">
      <alignment vertical="center"/>
      <protection hidden="1"/>
    </xf>
    <xf numFmtId="49" fontId="1" fillId="2" borderId="0" xfId="0" applyNumberFormat="1" applyFont="1" applyFill="1" applyAlignment="1" applyProtection="1">
      <alignment vertical="center"/>
      <protection hidden="1"/>
    </xf>
    <xf numFmtId="0" fontId="1" fillId="2" borderId="0" xfId="0" applyFont="1" applyFill="1" applyAlignment="1" applyProtection="1">
      <alignment horizontal="left"/>
      <protection hidden="1"/>
    </xf>
    <xf numFmtId="49" fontId="1" fillId="2" borderId="0" xfId="0" applyNumberFormat="1" applyFont="1" applyFill="1" applyBorder="1" applyAlignment="1" applyProtection="1">
      <alignment horizontal="left" vertical="center"/>
      <protection hidden="1"/>
    </xf>
    <xf numFmtId="0" fontId="1" fillId="2" borderId="0" xfId="20" applyFont="1" applyFill="1" applyAlignment="1" applyProtection="1">
      <alignment vertical="center"/>
      <protection hidden="1"/>
    </xf>
    <xf numFmtId="49" fontId="4" fillId="0" borderId="24" xfId="0" applyNumberFormat="1" applyFont="1" applyFill="1" applyBorder="1" applyAlignment="1" applyProtection="1">
      <alignment vertical="center"/>
      <protection hidden="1"/>
    </xf>
    <xf numFmtId="49" fontId="4" fillId="0" borderId="0" xfId="0" applyNumberFormat="1" applyFont="1" applyFill="1" applyBorder="1" applyAlignment="1" applyProtection="1">
      <alignment vertical="center"/>
      <protection hidden="1"/>
    </xf>
    <xf numFmtId="49" fontId="4" fillId="0" borderId="0" xfId="0" applyNumberFormat="1" applyFont="1" applyFill="1" applyAlignment="1" applyProtection="1">
      <alignment vertical="center"/>
      <protection hidden="1"/>
    </xf>
    <xf numFmtId="49" fontId="4" fillId="0" borderId="0" xfId="0" applyNumberFormat="1" applyFont="1" applyFill="1" applyAlignment="1" applyProtection="1">
      <alignment/>
      <protection hidden="1"/>
    </xf>
    <xf numFmtId="0" fontId="34" fillId="0" borderId="0" xfId="0" applyFont="1" applyFill="1" applyBorder="1" applyAlignment="1" applyProtection="1">
      <alignment horizontal="center" vertical="center"/>
      <protection hidden="1"/>
    </xf>
    <xf numFmtId="2" fontId="4" fillId="2" borderId="0" xfId="20" applyNumberFormat="1" applyFill="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2" fillId="0" borderId="25" xfId="20" applyFont="1" applyBorder="1" applyAlignment="1" applyProtection="1">
      <alignment horizontal="center" vertical="center"/>
      <protection hidden="1"/>
    </xf>
    <xf numFmtId="0" fontId="2" fillId="0" borderId="26" xfId="20" applyFont="1" applyBorder="1" applyAlignment="1" applyProtection="1">
      <alignment horizontal="center" vertical="center"/>
      <protection hidden="1"/>
    </xf>
    <xf numFmtId="0" fontId="1" fillId="0" borderId="0" xfId="20" applyFont="1" applyBorder="1" applyAlignment="1" applyProtection="1">
      <alignment horizontal="center" vertical="center" shrinkToFit="1"/>
      <protection hidden="1"/>
    </xf>
    <xf numFmtId="49" fontId="17" fillId="2" borderId="0" xfId="0" applyNumberFormat="1" applyFont="1" applyFill="1" applyAlignment="1" applyProtection="1">
      <alignment vertical="center"/>
      <protection hidden="1"/>
    </xf>
    <xf numFmtId="0" fontId="18" fillId="2" borderId="0" xfId="20" applyFont="1" applyFill="1" applyBorder="1" applyAlignment="1" applyProtection="1">
      <alignment horizontal="center" vertical="center" shrinkToFit="1"/>
      <protection hidden="1"/>
    </xf>
    <xf numFmtId="0" fontId="5" fillId="2" borderId="0" xfId="20" applyFont="1" applyFill="1" applyAlignment="1" applyProtection="1">
      <alignment vertical="center"/>
      <protection hidden="1"/>
    </xf>
    <xf numFmtId="173" fontId="4" fillId="0" borderId="20" xfId="20" applyNumberFormat="1" applyBorder="1" applyAlignment="1" applyProtection="1">
      <alignment horizontal="center" vertical="center" shrinkToFit="1"/>
      <protection hidden="1"/>
    </xf>
    <xf numFmtId="0" fontId="1" fillId="0" borderId="22" xfId="0" applyFont="1" applyFill="1" applyBorder="1" applyAlignment="1" applyProtection="1">
      <alignment vertical="center" shrinkToFit="1"/>
      <protection hidden="1"/>
    </xf>
    <xf numFmtId="49" fontId="4" fillId="2" borderId="0" xfId="0" applyNumberFormat="1" applyFont="1" applyFill="1" applyAlignment="1" applyProtection="1">
      <alignment horizontal="left" vertical="center"/>
      <protection hidden="1"/>
    </xf>
    <xf numFmtId="0" fontId="4" fillId="2" borderId="0" xfId="20" applyFont="1" applyFill="1" applyAlignment="1" applyProtection="1">
      <alignment/>
      <protection hidden="1"/>
    </xf>
    <xf numFmtId="0" fontId="4" fillId="2" borderId="0" xfId="20" applyFont="1" applyFill="1" applyBorder="1" applyAlignment="1" applyProtection="1">
      <alignment horizontal="right" vertical="center"/>
      <protection hidden="1"/>
    </xf>
    <xf numFmtId="49" fontId="9" fillId="2" borderId="0" xfId="0" applyNumberFormat="1" applyFont="1" applyFill="1" applyAlignment="1" applyProtection="1">
      <alignment vertical="top"/>
      <protection hidden="1"/>
    </xf>
    <xf numFmtId="0" fontId="9" fillId="0" borderId="0" xfId="0" applyFont="1" applyBorder="1" applyAlignment="1" applyProtection="1">
      <alignment horizontal="center" vertical="center"/>
      <protection hidden="1"/>
    </xf>
    <xf numFmtId="173" fontId="4" fillId="0" borderId="27" xfId="20" applyNumberFormat="1" applyBorder="1" applyAlignment="1" applyProtection="1">
      <alignment horizontal="center" vertical="center" shrinkToFit="1"/>
      <protection hidden="1"/>
    </xf>
    <xf numFmtId="0" fontId="4" fillId="0" borderId="27" xfId="20" applyBorder="1" applyAlignment="1" applyProtection="1">
      <alignment vertical="center"/>
      <protection hidden="1"/>
    </xf>
    <xf numFmtId="0" fontId="19" fillId="0" borderId="0" xfId="20" applyFont="1" applyAlignment="1" applyProtection="1">
      <alignment horizontal="left" vertical="center"/>
      <protection hidden="1"/>
    </xf>
    <xf numFmtId="0" fontId="1" fillId="0" borderId="0" xfId="0" applyFont="1" applyBorder="1" applyAlignment="1" applyProtection="1">
      <alignment vertical="center" shrinkToFit="1"/>
      <protection hidden="1"/>
    </xf>
    <xf numFmtId="0" fontId="2" fillId="0" borderId="0" xfId="0" applyFont="1" applyBorder="1" applyAlignment="1" applyProtection="1">
      <alignment vertical="center" shrinkToFit="1"/>
      <protection hidden="1"/>
    </xf>
    <xf numFmtId="0" fontId="4" fillId="0" borderId="28" xfId="20" applyBorder="1" applyAlignment="1" applyProtection="1">
      <alignment vertical="center"/>
      <protection hidden="1"/>
    </xf>
    <xf numFmtId="49" fontId="2" fillId="0" borderId="29" xfId="20" applyNumberFormat="1" applyFont="1" applyFill="1" applyBorder="1" applyAlignment="1" applyProtection="1">
      <alignment horizontal="left" vertical="center"/>
      <protection hidden="1"/>
    </xf>
    <xf numFmtId="0" fontId="4" fillId="0" borderId="29" xfId="20" applyBorder="1" applyAlignment="1" applyProtection="1">
      <alignment horizontal="left" vertical="center"/>
      <protection hidden="1"/>
    </xf>
    <xf numFmtId="0" fontId="2" fillId="0" borderId="30" xfId="20" applyFont="1" applyBorder="1" applyAlignment="1" applyProtection="1">
      <alignment horizontal="center" vertical="center" shrinkToFit="1"/>
      <protection hidden="1"/>
    </xf>
    <xf numFmtId="0" fontId="4" fillId="0" borderId="31" xfId="20" applyFont="1" applyBorder="1" applyAlignment="1" applyProtection="1">
      <alignment horizontal="center"/>
      <protection hidden="1"/>
    </xf>
    <xf numFmtId="173" fontId="4" fillId="0" borderId="22" xfId="20" applyNumberFormat="1" applyFont="1" applyFill="1" applyBorder="1" applyAlignment="1" applyProtection="1">
      <alignment horizontal="center" vertical="center" shrinkToFit="1"/>
      <protection hidden="1"/>
    </xf>
    <xf numFmtId="0" fontId="0" fillId="0" borderId="0" xfId="0" applyFont="1" applyBorder="1" applyAlignment="1" applyProtection="1">
      <alignment horizontal="center" vertical="center" shrinkToFit="1"/>
      <protection hidden="1"/>
    </xf>
    <xf numFmtId="0" fontId="10" fillId="0" borderId="2" xfId="20" applyFont="1" applyBorder="1" applyAlignment="1" applyProtection="1">
      <alignment horizontal="left" vertical="center"/>
      <protection hidden="1"/>
    </xf>
    <xf numFmtId="0" fontId="5" fillId="0" borderId="2" xfId="20" applyFont="1" applyBorder="1" applyAlignment="1" applyProtection="1">
      <alignment horizontal="center" vertical="center"/>
      <protection hidden="1"/>
    </xf>
    <xf numFmtId="0" fontId="9" fillId="0" borderId="22" xfId="20" applyFont="1" applyBorder="1" applyAlignment="1" applyProtection="1">
      <alignment horizontal="center"/>
      <protection hidden="1"/>
    </xf>
    <xf numFmtId="0" fontId="2" fillId="0" borderId="32" xfId="20" applyFont="1" applyBorder="1" applyAlignment="1" applyProtection="1">
      <alignment horizontal="center" vertical="center"/>
      <protection hidden="1"/>
    </xf>
    <xf numFmtId="0" fontId="4" fillId="0" borderId="20" xfId="20" applyBorder="1" applyAlignment="1" applyProtection="1">
      <alignment vertical="center"/>
      <protection hidden="1"/>
    </xf>
    <xf numFmtId="0" fontId="28" fillId="0" borderId="0" xfId="20" applyFont="1" applyBorder="1" applyAlignment="1" applyProtection="1">
      <alignment horizontal="center" vertical="center"/>
      <protection hidden="1"/>
    </xf>
    <xf numFmtId="0" fontId="9" fillId="0" borderId="0" xfId="20" applyFont="1" applyBorder="1" applyAlignment="1" applyProtection="1">
      <alignment horizontal="center" vertical="center"/>
      <protection hidden="1"/>
    </xf>
    <xf numFmtId="0" fontId="9" fillId="0" borderId="0" xfId="20" applyFont="1" applyBorder="1" applyAlignment="1" applyProtection="1">
      <alignment vertical="center"/>
      <protection hidden="1"/>
    </xf>
    <xf numFmtId="0" fontId="4" fillId="0" borderId="10" xfId="20" applyFont="1" applyBorder="1" applyAlignment="1" applyProtection="1">
      <alignment horizontal="center" vertical="center"/>
      <protection hidden="1"/>
    </xf>
    <xf numFmtId="0" fontId="4" fillId="0" borderId="9" xfId="20" applyFont="1" applyBorder="1" applyAlignment="1" applyProtection="1">
      <alignment vertical="center"/>
      <protection hidden="1"/>
    </xf>
    <xf numFmtId="0" fontId="4" fillId="0" borderId="0" xfId="20" applyFont="1" applyBorder="1" applyAlignment="1" applyProtection="1">
      <alignment horizontal="center"/>
      <protection hidden="1"/>
    </xf>
    <xf numFmtId="0" fontId="1" fillId="0" borderId="14" xfId="20" applyFont="1" applyBorder="1" applyAlignment="1" applyProtection="1">
      <alignment horizontal="center" vertical="center"/>
      <protection hidden="1"/>
    </xf>
    <xf numFmtId="0" fontId="4" fillId="0" borderId="17" xfId="20" applyFont="1" applyBorder="1" applyAlignment="1" applyProtection="1">
      <alignment horizontal="center"/>
      <protection hidden="1"/>
    </xf>
    <xf numFmtId="0" fontId="4" fillId="0" borderId="19" xfId="20" applyFont="1" applyBorder="1" applyAlignment="1" applyProtection="1">
      <alignment horizontal="center"/>
      <protection hidden="1"/>
    </xf>
    <xf numFmtId="0" fontId="21" fillId="0" borderId="0" xfId="20" applyNumberFormat="1" applyFont="1" applyBorder="1" applyAlignment="1" applyProtection="1">
      <alignment horizontal="center" shrinkToFit="1"/>
      <protection hidden="1"/>
    </xf>
    <xf numFmtId="0" fontId="4" fillId="0" borderId="33" xfId="20" applyFont="1" applyBorder="1" applyAlignment="1" applyProtection="1">
      <alignment shrinkToFit="1"/>
      <protection hidden="1"/>
    </xf>
    <xf numFmtId="0" fontId="4" fillId="0" borderId="11" xfId="20" applyFont="1" applyBorder="1" applyAlignment="1" applyProtection="1">
      <alignment shrinkToFit="1"/>
      <protection hidden="1"/>
    </xf>
    <xf numFmtId="0" fontId="4" fillId="0" borderId="0" xfId="20" applyFont="1" applyFill="1" applyBorder="1" applyAlignment="1" applyProtection="1">
      <alignment horizontal="left" vertical="top"/>
      <protection hidden="1"/>
    </xf>
    <xf numFmtId="0" fontId="1" fillId="0" borderId="28" xfId="0" applyFont="1" applyBorder="1" applyAlignment="1" applyProtection="1">
      <alignment vertical="center" shrinkToFit="1"/>
      <protection hidden="1"/>
    </xf>
    <xf numFmtId="0" fontId="3" fillId="0" borderId="9" xfId="0" applyFont="1" applyBorder="1" applyAlignment="1" applyProtection="1">
      <alignment vertical="center"/>
      <protection hidden="1"/>
    </xf>
    <xf numFmtId="0" fontId="13" fillId="0" borderId="22" xfId="20" applyFont="1" applyBorder="1" applyAlignment="1" applyProtection="1">
      <alignment vertical="center"/>
      <protection hidden="1"/>
    </xf>
    <xf numFmtId="0" fontId="24" fillId="0" borderId="0" xfId="20" applyFont="1" applyBorder="1" applyAlignment="1" applyProtection="1">
      <alignment horizontal="left" vertical="center" shrinkToFit="1"/>
      <protection hidden="1"/>
    </xf>
    <xf numFmtId="0" fontId="21" fillId="0" borderId="18" xfId="20" applyNumberFormat="1" applyFont="1" applyBorder="1" applyAlignment="1" applyProtection="1">
      <alignment horizontal="center" vertical="center" shrinkToFit="1"/>
      <protection hidden="1"/>
    </xf>
    <xf numFmtId="173" fontId="4" fillId="0" borderId="34" xfId="20" applyNumberFormat="1" applyFont="1" applyBorder="1" applyAlignment="1" applyProtection="1">
      <alignment horizontal="right" vertical="center" shrinkToFit="1"/>
      <protection hidden="1"/>
    </xf>
    <xf numFmtId="2" fontId="4" fillId="0" borderId="13" xfId="20" applyNumberFormat="1" applyFont="1" applyBorder="1" applyAlignment="1" applyProtection="1">
      <alignment horizontal="left" vertical="center" shrinkToFit="1"/>
      <protection hidden="1"/>
    </xf>
    <xf numFmtId="0" fontId="4" fillId="0" borderId="35" xfId="0" applyFont="1" applyBorder="1" applyAlignment="1" applyProtection="1">
      <alignment horizontal="right" vertical="center" shrinkToFit="1"/>
      <protection hidden="1"/>
    </xf>
    <xf numFmtId="2" fontId="4" fillId="0" borderId="36" xfId="0" applyNumberFormat="1" applyFont="1" applyBorder="1" applyAlignment="1" applyProtection="1">
      <alignment horizontal="left" vertical="center"/>
      <protection hidden="1"/>
    </xf>
    <xf numFmtId="0" fontId="10" fillId="0" borderId="2" xfId="20" applyFont="1" applyBorder="1" applyAlignment="1" applyProtection="1">
      <alignment horizontal="center" vertical="center"/>
      <protection hidden="1"/>
    </xf>
    <xf numFmtId="0" fontId="9" fillId="0" borderId="2" xfId="20" applyFont="1" applyBorder="1" applyAlignment="1" applyProtection="1">
      <alignment horizontal="center" vertical="center"/>
      <protection hidden="1"/>
    </xf>
    <xf numFmtId="0" fontId="4" fillId="0" borderId="34" xfId="0" applyFont="1" applyBorder="1" applyAlignment="1" applyProtection="1">
      <alignment horizontal="center" vertical="center" shrinkToFit="1"/>
      <protection hidden="1"/>
    </xf>
    <xf numFmtId="1" fontId="4" fillId="0" borderId="2" xfId="20" applyNumberFormat="1" applyBorder="1" applyAlignment="1" applyProtection="1">
      <alignment horizontal="center" vertical="center"/>
      <protection hidden="1"/>
    </xf>
    <xf numFmtId="2" fontId="42" fillId="0" borderId="37" xfId="20" applyNumberFormat="1" applyFont="1" applyFill="1" applyBorder="1" applyAlignment="1" applyProtection="1">
      <alignment horizontal="center" vertical="center" shrinkToFit="1"/>
      <protection hidden="1"/>
    </xf>
    <xf numFmtId="0" fontId="4" fillId="2" borderId="0" xfId="20" applyFont="1" applyFill="1" applyAlignment="1" applyProtection="1">
      <alignment vertical="center"/>
      <protection hidden="1"/>
    </xf>
    <xf numFmtId="0" fontId="13" fillId="0" borderId="38" xfId="20" applyFont="1" applyBorder="1" applyAlignment="1" applyProtection="1">
      <alignment horizontal="center" vertical="center"/>
      <protection hidden="1"/>
    </xf>
    <xf numFmtId="0" fontId="4" fillId="0" borderId="38" xfId="20" applyFont="1" applyBorder="1" applyAlignment="1" applyProtection="1">
      <alignment horizontal="center" vertical="center"/>
      <protection hidden="1"/>
    </xf>
    <xf numFmtId="0" fontId="4" fillId="0" borderId="0" xfId="20" applyFont="1" applyAlignment="1" applyProtection="1">
      <alignment horizontal="center" vertical="center"/>
      <protection hidden="1"/>
    </xf>
    <xf numFmtId="0" fontId="23" fillId="0" borderId="9" xfId="20" applyFont="1" applyFill="1" applyBorder="1" applyAlignment="1" applyProtection="1">
      <alignment horizontal="center" vertical="center"/>
      <protection hidden="1"/>
    </xf>
    <xf numFmtId="49" fontId="2" fillId="0" borderId="39" xfId="20" applyNumberFormat="1" applyFont="1" applyFill="1" applyBorder="1" applyAlignment="1" applyProtection="1">
      <alignment horizontal="left" vertical="center"/>
      <protection hidden="1"/>
    </xf>
    <xf numFmtId="0" fontId="4" fillId="0" borderId="39" xfId="20" applyBorder="1" applyAlignment="1" applyProtection="1">
      <alignment horizontal="left" vertical="center"/>
      <protection hidden="1"/>
    </xf>
    <xf numFmtId="0" fontId="2" fillId="0" borderId="40" xfId="20" applyFont="1" applyBorder="1" applyAlignment="1" applyProtection="1">
      <alignment horizontal="center" vertical="center" shrinkToFit="1"/>
      <protection hidden="1"/>
    </xf>
    <xf numFmtId="0" fontId="2" fillId="0" borderId="41" xfId="20" applyFont="1" applyBorder="1" applyAlignment="1" applyProtection="1">
      <alignment horizontal="center" vertical="center"/>
      <protection hidden="1"/>
    </xf>
    <xf numFmtId="0" fontId="9" fillId="0" borderId="38" xfId="0" applyFont="1" applyBorder="1" applyAlignment="1" applyProtection="1">
      <alignment horizontal="center" vertical="center"/>
      <protection hidden="1"/>
    </xf>
    <xf numFmtId="0" fontId="4" fillId="0" borderId="38" xfId="0" applyFont="1" applyBorder="1" applyAlignment="1" applyProtection="1">
      <alignment horizontal="center" vertical="center"/>
      <protection hidden="1"/>
    </xf>
    <xf numFmtId="0" fontId="4" fillId="0" borderId="38" xfId="0" applyFont="1" applyBorder="1" applyAlignment="1" applyProtection="1">
      <alignment horizontal="center" vertical="center" shrinkToFit="1"/>
      <protection hidden="1"/>
    </xf>
    <xf numFmtId="0" fontId="9" fillId="0" borderId="38" xfId="0" applyFont="1" applyBorder="1" applyAlignment="1" applyProtection="1">
      <alignment horizontal="center" vertical="center" shrinkToFit="1"/>
      <protection hidden="1"/>
    </xf>
    <xf numFmtId="0" fontId="4" fillId="0" borderId="42" xfId="2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9" fillId="0" borderId="37" xfId="20" applyFont="1" applyBorder="1" applyAlignment="1" applyProtection="1">
      <alignment horizontal="left" vertical="center"/>
      <protection hidden="1"/>
    </xf>
    <xf numFmtId="0" fontId="9" fillId="0" borderId="43" xfId="0" applyFont="1" applyBorder="1" applyAlignment="1" applyProtection="1">
      <alignment horizontal="right" vertical="center" shrinkToFit="1"/>
      <protection hidden="1"/>
    </xf>
    <xf numFmtId="0" fontId="1" fillId="0" borderId="0" xfId="20" applyFont="1" applyBorder="1" applyAlignment="1" applyProtection="1">
      <alignment vertical="center" shrinkToFit="1"/>
      <protection hidden="1"/>
    </xf>
    <xf numFmtId="173" fontId="42" fillId="0" borderId="37" xfId="20" applyNumberFormat="1" applyFont="1" applyFill="1" applyBorder="1" applyAlignment="1" applyProtection="1">
      <alignment horizontal="center" vertical="center" shrinkToFit="1"/>
      <protection hidden="1"/>
    </xf>
    <xf numFmtId="0" fontId="7" fillId="0" borderId="14" xfId="20" applyFont="1" applyBorder="1" applyAlignment="1" applyProtection="1">
      <alignment horizontal="center"/>
      <protection hidden="1"/>
    </xf>
    <xf numFmtId="0" fontId="4" fillId="0" borderId="44" xfId="20" applyBorder="1" applyAlignment="1" applyProtection="1">
      <alignment vertical="center"/>
      <protection hidden="1"/>
    </xf>
    <xf numFmtId="0" fontId="18" fillId="0" borderId="44" xfId="20" applyFont="1" applyBorder="1" applyAlignment="1" applyProtection="1">
      <alignment horizontal="center" vertical="top" shrinkToFit="1"/>
      <protection hidden="1"/>
    </xf>
    <xf numFmtId="0" fontId="7" fillId="0" borderId="34" xfId="20" applyFont="1" applyBorder="1" applyAlignment="1" applyProtection="1">
      <alignment horizontal="center" vertical="center"/>
      <protection hidden="1"/>
    </xf>
    <xf numFmtId="180" fontId="5" fillId="0" borderId="2" xfId="20" applyNumberFormat="1" applyFont="1" applyBorder="1" applyAlignment="1" applyProtection="1">
      <alignment horizontal="center" vertical="center" shrinkToFit="1"/>
      <protection hidden="1"/>
    </xf>
    <xf numFmtId="49" fontId="4" fillId="0" borderId="28" xfId="20" applyNumberFormat="1" applyFont="1" applyFill="1" applyBorder="1" applyAlignment="1" applyProtection="1">
      <alignment horizontal="left" vertical="center"/>
      <protection hidden="1"/>
    </xf>
    <xf numFmtId="0" fontId="11" fillId="0" borderId="28" xfId="20" applyFont="1" applyBorder="1" applyAlignment="1" applyProtection="1">
      <alignment horizontal="right" vertical="center" shrinkToFit="1"/>
      <protection hidden="1"/>
    </xf>
    <xf numFmtId="0" fontId="4" fillId="0" borderId="11" xfId="0" applyFont="1" applyBorder="1" applyAlignment="1" applyProtection="1">
      <alignment horizontal="center" vertical="center" shrinkToFit="1"/>
      <protection hidden="1"/>
    </xf>
    <xf numFmtId="0" fontId="4" fillId="0" borderId="11" xfId="20" applyFont="1" applyBorder="1" applyAlignment="1" applyProtection="1">
      <alignment horizontal="center" vertical="center"/>
      <protection hidden="1"/>
    </xf>
    <xf numFmtId="0" fontId="4" fillId="0" borderId="45"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12" xfId="20" applyFont="1" applyBorder="1" applyAlignment="1" applyProtection="1">
      <alignment horizontal="center" vertical="center"/>
      <protection hidden="1"/>
    </xf>
    <xf numFmtId="185" fontId="4" fillId="0" borderId="43" xfId="0" applyNumberFormat="1" applyFont="1" applyBorder="1" applyAlignment="1" applyProtection="1">
      <alignment horizontal="right" vertical="center" shrinkToFit="1"/>
      <protection hidden="1"/>
    </xf>
    <xf numFmtId="185" fontId="4" fillId="0" borderId="37" xfId="0" applyNumberFormat="1" applyFont="1" applyBorder="1" applyAlignment="1" applyProtection="1">
      <alignment horizontal="left" vertical="center" shrinkToFit="1"/>
      <protection hidden="1"/>
    </xf>
    <xf numFmtId="2" fontId="4" fillId="0" borderId="43" xfId="0" applyNumberFormat="1" applyFont="1" applyBorder="1" applyAlignment="1" applyProtection="1">
      <alignment horizontal="right" vertical="center" shrinkToFit="1"/>
      <protection hidden="1"/>
    </xf>
    <xf numFmtId="2" fontId="4" fillId="0" borderId="37" xfId="0" applyNumberFormat="1" applyFont="1" applyBorder="1" applyAlignment="1" applyProtection="1">
      <alignment horizontal="left" vertical="center" shrinkToFit="1"/>
      <protection hidden="1"/>
    </xf>
    <xf numFmtId="3" fontId="4" fillId="0" borderId="43" xfId="20" applyNumberFormat="1" applyFont="1" applyBorder="1" applyAlignment="1" applyProtection="1">
      <alignment horizontal="right" vertical="center" shrinkToFit="1"/>
      <protection hidden="1"/>
    </xf>
    <xf numFmtId="3" fontId="4" fillId="0" borderId="37" xfId="20" applyNumberFormat="1" applyFont="1" applyBorder="1" applyAlignment="1" applyProtection="1">
      <alignment horizontal="left" vertical="center" shrinkToFit="1"/>
      <protection hidden="1"/>
    </xf>
    <xf numFmtId="0" fontId="4" fillId="0" borderId="34" xfId="20" applyFont="1" applyBorder="1" applyAlignment="1" applyProtection="1">
      <alignment horizontal="center" vertical="center" shrinkToFit="1"/>
      <protection hidden="1"/>
    </xf>
    <xf numFmtId="0" fontId="4" fillId="0" borderId="13" xfId="20" applyFont="1" applyBorder="1" applyAlignment="1" applyProtection="1">
      <alignment horizontal="center" vertical="center" shrinkToFit="1"/>
      <protection hidden="1"/>
    </xf>
    <xf numFmtId="0" fontId="4" fillId="0" borderId="11"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183" fontId="4" fillId="0" borderId="46" xfId="20" applyNumberFormat="1" applyFont="1" applyBorder="1" applyAlignment="1" applyProtection="1">
      <alignment shrinkToFit="1"/>
      <protection hidden="1"/>
    </xf>
    <xf numFmtId="174" fontId="4" fillId="0" borderId="47" xfId="20" applyNumberFormat="1" applyFont="1" applyBorder="1" applyAlignment="1" applyProtection="1">
      <alignment horizontal="center" shrinkToFit="1"/>
      <protection hidden="1"/>
    </xf>
    <xf numFmtId="183" fontId="4" fillId="0" borderId="0" xfId="20" applyNumberFormat="1" applyFont="1" applyBorder="1" applyAlignment="1" applyProtection="1">
      <alignment shrinkToFit="1"/>
      <protection hidden="1"/>
    </xf>
    <xf numFmtId="174" fontId="4" fillId="0" borderId="13" xfId="20" applyNumberFormat="1" applyFont="1" applyBorder="1" applyAlignment="1" applyProtection="1">
      <alignment horizontal="center" shrinkToFit="1"/>
      <protection hidden="1"/>
    </xf>
    <xf numFmtId="0" fontId="4" fillId="0" borderId="48" xfId="20" applyBorder="1" applyAlignment="1" applyProtection="1">
      <alignment/>
      <protection hidden="1"/>
    </xf>
    <xf numFmtId="0" fontId="1" fillId="0" borderId="9" xfId="0" applyFont="1" applyBorder="1" applyAlignment="1" applyProtection="1">
      <alignment shrinkToFit="1"/>
      <protection hidden="1"/>
    </xf>
    <xf numFmtId="3" fontId="9" fillId="0" borderId="43" xfId="20" applyNumberFormat="1" applyFont="1" applyBorder="1" applyAlignment="1" applyProtection="1">
      <alignment horizontal="center" vertical="center" shrinkToFit="1"/>
      <protection hidden="1"/>
    </xf>
    <xf numFmtId="0" fontId="9" fillId="0" borderId="49" xfId="20" applyFont="1" applyBorder="1" applyAlignment="1" applyProtection="1">
      <alignment horizontal="center" vertical="center" shrinkToFit="1"/>
      <protection hidden="1"/>
    </xf>
    <xf numFmtId="0" fontId="9" fillId="0" borderId="50" xfId="20" applyFont="1" applyBorder="1" applyAlignment="1" applyProtection="1">
      <alignment horizontal="center" vertical="center" shrinkToFit="1"/>
      <protection hidden="1"/>
    </xf>
    <xf numFmtId="2" fontId="9" fillId="0" borderId="43" xfId="20" applyNumberFormat="1" applyFont="1" applyBorder="1" applyAlignment="1" applyProtection="1">
      <alignment horizontal="center" vertical="center" shrinkToFit="1"/>
      <protection hidden="1"/>
    </xf>
    <xf numFmtId="0" fontId="4" fillId="0" borderId="42" xfId="0" applyFont="1" applyBorder="1" applyAlignment="1" applyProtection="1">
      <alignment horizontal="center" vertical="center"/>
      <protection hidden="1"/>
    </xf>
    <xf numFmtId="0" fontId="9" fillId="0" borderId="34" xfId="0" applyFont="1" applyBorder="1" applyAlignment="1" applyProtection="1">
      <alignment vertical="center"/>
      <protection hidden="1"/>
    </xf>
    <xf numFmtId="0" fontId="4" fillId="0" borderId="42" xfId="0" applyFont="1" applyBorder="1" applyAlignment="1" applyProtection="1">
      <alignment horizontal="center" vertical="center" shrinkToFit="1"/>
      <protection hidden="1"/>
    </xf>
    <xf numFmtId="0" fontId="1" fillId="0" borderId="51" xfId="20" applyNumberFormat="1" applyFont="1" applyFill="1" applyBorder="1" applyAlignment="1" applyProtection="1">
      <alignment horizontal="center" vertical="center" shrinkToFit="1"/>
      <protection hidden="1"/>
    </xf>
    <xf numFmtId="0" fontId="1" fillId="2" borderId="0" xfId="0" applyFont="1" applyFill="1" applyAlignment="1" applyProtection="1">
      <alignment horizontal="left" vertical="center"/>
      <protection hidden="1"/>
    </xf>
    <xf numFmtId="0" fontId="4" fillId="0" borderId="0" xfId="20" applyFont="1" applyBorder="1" applyAlignment="1" applyProtection="1">
      <alignment horizontal="right" vertical="center"/>
      <protection hidden="1"/>
    </xf>
    <xf numFmtId="0" fontId="23" fillId="0" borderId="0" xfId="20" applyFont="1" applyFill="1" applyBorder="1" applyAlignment="1" applyProtection="1">
      <alignment horizontal="center" vertical="center"/>
      <protection hidden="1"/>
    </xf>
    <xf numFmtId="0" fontId="23" fillId="0" borderId="52" xfId="20" applyFont="1" applyBorder="1" applyAlignment="1" applyProtection="1">
      <alignment horizontal="center" vertical="center" shrinkToFit="1"/>
      <protection hidden="1"/>
    </xf>
    <xf numFmtId="0" fontId="4" fillId="0" borderId="53" xfId="0" applyFont="1" applyBorder="1" applyAlignment="1" applyProtection="1">
      <alignment horizontal="center" vertical="center"/>
      <protection hidden="1"/>
    </xf>
    <xf numFmtId="2" fontId="22" fillId="0" borderId="54" xfId="20" applyNumberFormat="1" applyFont="1" applyBorder="1" applyAlignment="1" applyProtection="1">
      <alignment horizontal="center" vertical="center" shrinkToFit="1"/>
      <protection hidden="1"/>
    </xf>
    <xf numFmtId="0" fontId="23" fillId="0" borderId="0" xfId="0" applyFont="1" applyBorder="1" applyAlignment="1" applyProtection="1">
      <alignment horizontal="left" vertical="top"/>
      <protection hidden="1"/>
    </xf>
    <xf numFmtId="192" fontId="5" fillId="0" borderId="0" xfId="20" applyNumberFormat="1" applyFont="1" applyBorder="1" applyAlignment="1" applyProtection="1">
      <alignment horizontal="center" vertical="center" shrinkToFit="1"/>
      <protection hidden="1"/>
    </xf>
    <xf numFmtId="3" fontId="4" fillId="0" borderId="50" xfId="20" applyNumberFormat="1" applyFont="1" applyFill="1" applyBorder="1" applyAlignment="1" applyProtection="1">
      <alignment vertical="center" shrinkToFit="1"/>
      <protection hidden="1"/>
    </xf>
    <xf numFmtId="0" fontId="4" fillId="0" borderId="0" xfId="20" applyFont="1" applyBorder="1" applyAlignment="1" applyProtection="1">
      <alignment vertical="center" shrinkToFit="1"/>
      <protection hidden="1"/>
    </xf>
    <xf numFmtId="3" fontId="4" fillId="0" borderId="49" xfId="0" applyNumberFormat="1" applyFont="1" applyBorder="1" applyAlignment="1" applyProtection="1">
      <alignment horizontal="left" vertical="center" shrinkToFit="1"/>
      <protection hidden="1"/>
    </xf>
    <xf numFmtId="183" fontId="4" fillId="0" borderId="43" xfId="20" applyNumberFormat="1" applyFont="1" applyFill="1" applyBorder="1" applyAlignment="1" applyProtection="1">
      <alignment vertical="center" shrinkToFit="1"/>
      <protection hidden="1"/>
    </xf>
    <xf numFmtId="183" fontId="4" fillId="0" borderId="0" xfId="20" applyNumberFormat="1" applyFont="1" applyBorder="1" applyAlignment="1" applyProtection="1">
      <alignment vertical="center" shrinkToFit="1"/>
      <protection hidden="1"/>
    </xf>
    <xf numFmtId="183" fontId="4" fillId="0" borderId="37" xfId="20" applyNumberFormat="1" applyFont="1" applyFill="1" applyBorder="1" applyAlignment="1" applyProtection="1">
      <alignment horizontal="left" vertical="center" shrinkToFit="1"/>
      <protection hidden="1"/>
    </xf>
    <xf numFmtId="3" fontId="4" fillId="0" borderId="43" xfId="20" applyNumberFormat="1" applyFont="1" applyBorder="1" applyAlignment="1" applyProtection="1">
      <alignment vertical="center" shrinkToFit="1"/>
      <protection hidden="1"/>
    </xf>
    <xf numFmtId="0" fontId="4" fillId="0" borderId="55" xfId="0" applyFont="1" applyBorder="1" applyAlignment="1" applyProtection="1">
      <alignment horizontal="center" vertical="center"/>
      <protection hidden="1"/>
    </xf>
    <xf numFmtId="192" fontId="5" fillId="0" borderId="44" xfId="20" applyNumberFormat="1" applyFont="1" applyBorder="1" applyAlignment="1" applyProtection="1">
      <alignment horizontal="center" vertical="center" shrinkToFit="1"/>
      <protection hidden="1"/>
    </xf>
    <xf numFmtId="0" fontId="7" fillId="0" borderId="56" xfId="20" applyFont="1" applyBorder="1" applyAlignment="1" applyProtection="1">
      <alignment horizontal="center"/>
      <protection hidden="1"/>
    </xf>
    <xf numFmtId="0" fontId="7" fillId="0" borderId="57" xfId="20" applyFont="1" applyBorder="1" applyAlignment="1" applyProtection="1">
      <alignment horizontal="center"/>
      <protection hidden="1"/>
    </xf>
    <xf numFmtId="0" fontId="7" fillId="0" borderId="2" xfId="20" applyFont="1" applyBorder="1" applyAlignment="1" applyProtection="1">
      <alignment horizontal="center"/>
      <protection hidden="1"/>
    </xf>
    <xf numFmtId="3" fontId="4" fillId="0" borderId="34" xfId="20" applyNumberFormat="1" applyFont="1" applyBorder="1" applyAlignment="1" applyProtection="1">
      <alignment horizontal="center" vertical="center" shrinkToFit="1"/>
      <protection hidden="1"/>
    </xf>
    <xf numFmtId="192" fontId="4" fillId="0" borderId="34" xfId="20" applyNumberFormat="1" applyFont="1" applyBorder="1" applyAlignment="1" applyProtection="1">
      <alignment horizontal="center" vertical="center" shrinkToFit="1"/>
      <protection hidden="1"/>
    </xf>
    <xf numFmtId="0" fontId="4" fillId="0" borderId="8" xfId="20" applyBorder="1" applyAlignment="1" applyProtection="1">
      <alignment vertical="center"/>
      <protection hidden="1"/>
    </xf>
    <xf numFmtId="0" fontId="18" fillId="0" borderId="8" xfId="20" applyFont="1" applyBorder="1" applyAlignment="1" applyProtection="1">
      <alignment horizontal="center" vertical="top" shrinkToFit="1"/>
      <protection hidden="1"/>
    </xf>
    <xf numFmtId="0" fontId="4" fillId="0" borderId="19" xfId="20" applyBorder="1" applyAlignment="1" applyProtection="1">
      <alignment vertical="center"/>
      <protection hidden="1"/>
    </xf>
    <xf numFmtId="0" fontId="13" fillId="2" borderId="0" xfId="0" applyFont="1" applyFill="1" applyBorder="1" applyAlignment="1" applyProtection="1">
      <alignment horizontal="center" vertical="center" shrinkToFit="1"/>
      <protection hidden="1"/>
    </xf>
    <xf numFmtId="0" fontId="4" fillId="0" borderId="58" xfId="0" applyFont="1" applyBorder="1" applyAlignment="1" applyProtection="1">
      <alignment horizontal="center" vertical="center"/>
      <protection hidden="1"/>
    </xf>
    <xf numFmtId="2" fontId="4" fillId="0" borderId="59" xfId="20" applyNumberFormat="1" applyFont="1" applyBorder="1" applyAlignment="1" applyProtection="1">
      <alignment horizontal="center" vertical="center" shrinkToFit="1"/>
      <protection hidden="1"/>
    </xf>
    <xf numFmtId="2" fontId="4" fillId="0" borderId="8" xfId="20" applyNumberFormat="1" applyFont="1" applyBorder="1" applyAlignment="1" applyProtection="1">
      <alignment horizontal="center" vertical="center" shrinkToFit="1"/>
      <protection hidden="1"/>
    </xf>
    <xf numFmtId="2" fontId="4" fillId="0" borderId="60" xfId="20" applyNumberFormat="1" applyFont="1" applyBorder="1" applyAlignment="1" applyProtection="1">
      <alignment horizontal="center" vertical="center" shrinkToFit="1"/>
      <protection hidden="1"/>
    </xf>
    <xf numFmtId="173" fontId="2" fillId="0" borderId="22" xfId="20" applyNumberFormat="1" applyFont="1" applyBorder="1" applyAlignment="1" applyProtection="1">
      <alignment horizontal="center" shrinkToFit="1"/>
      <protection hidden="1"/>
    </xf>
    <xf numFmtId="2" fontId="4" fillId="0" borderId="0" xfId="20" applyNumberFormat="1" applyFont="1" applyBorder="1" applyAlignment="1" applyProtection="1">
      <alignment horizontal="center" vertical="center" shrinkToFit="1"/>
      <protection hidden="1"/>
    </xf>
    <xf numFmtId="0" fontId="1" fillId="0" borderId="34" xfId="20" applyFont="1" applyBorder="1" applyAlignment="1" applyProtection="1">
      <alignment vertical="center" shrinkToFit="1"/>
      <protection hidden="1"/>
    </xf>
    <xf numFmtId="0" fontId="9" fillId="0" borderId="43" xfId="20" applyFont="1" applyBorder="1" applyAlignment="1" applyProtection="1">
      <alignment horizontal="center" vertical="center" shrinkToFit="1"/>
      <protection hidden="1"/>
    </xf>
    <xf numFmtId="2" fontId="4" fillId="0" borderId="34" xfId="20" applyNumberFormat="1" applyFont="1" applyBorder="1" applyAlignment="1" applyProtection="1">
      <alignment horizontal="center" vertical="center" shrinkToFit="1"/>
      <protection hidden="1"/>
    </xf>
    <xf numFmtId="180" fontId="4" fillId="0" borderId="37" xfId="20" applyNumberFormat="1" applyFont="1" applyFill="1" applyBorder="1" applyAlignment="1" applyProtection="1">
      <alignment horizontal="center" vertical="center" shrinkToFit="1"/>
      <protection hidden="1"/>
    </xf>
    <xf numFmtId="2" fontId="4" fillId="0" borderId="34" xfId="20" applyNumberFormat="1" applyFont="1" applyFill="1" applyBorder="1" applyAlignment="1" applyProtection="1">
      <alignment horizontal="center" vertical="center" shrinkToFit="1"/>
      <protection hidden="1"/>
    </xf>
    <xf numFmtId="2" fontId="4" fillId="0" borderId="0" xfId="20" applyNumberFormat="1" applyFont="1" applyFill="1" applyBorder="1" applyAlignment="1" applyProtection="1">
      <alignment horizontal="center" vertical="center" shrinkToFit="1"/>
      <protection hidden="1"/>
    </xf>
    <xf numFmtId="174" fontId="4" fillId="0" borderId="61" xfId="20" applyNumberFormat="1" applyFont="1" applyFill="1" applyBorder="1" applyAlignment="1" applyProtection="1">
      <alignment horizontal="center" vertical="center" shrinkToFit="1"/>
      <protection hidden="1"/>
    </xf>
    <xf numFmtId="174" fontId="4" fillId="0" borderId="35" xfId="20" applyNumberFormat="1" applyFont="1" applyFill="1" applyBorder="1" applyAlignment="1" applyProtection="1">
      <alignment horizontal="center" vertical="center" shrinkToFit="1"/>
      <protection hidden="1"/>
    </xf>
    <xf numFmtId="180" fontId="4" fillId="0" borderId="2" xfId="20" applyNumberFormat="1" applyFont="1" applyFill="1" applyBorder="1" applyAlignment="1" applyProtection="1">
      <alignment horizontal="center" vertical="center" shrinkToFit="1"/>
      <protection hidden="1"/>
    </xf>
    <xf numFmtId="174" fontId="4" fillId="0" borderId="34" xfId="20" applyNumberFormat="1" applyFont="1" applyFill="1" applyBorder="1" applyAlignment="1" applyProtection="1">
      <alignment horizontal="center" vertical="center" shrinkToFit="1"/>
      <protection hidden="1"/>
    </xf>
    <xf numFmtId="180" fontId="4" fillId="0" borderId="48" xfId="20" applyNumberFormat="1" applyFont="1" applyBorder="1" applyAlignment="1" applyProtection="1">
      <alignment horizontal="center" vertical="center" shrinkToFit="1"/>
      <protection hidden="1"/>
    </xf>
    <xf numFmtId="180" fontId="4" fillId="0" borderId="9" xfId="20" applyNumberFormat="1" applyFont="1" applyBorder="1" applyAlignment="1" applyProtection="1">
      <alignment horizontal="center" vertical="center" shrinkToFit="1"/>
      <protection hidden="1"/>
    </xf>
    <xf numFmtId="180" fontId="4" fillId="0" borderId="49" xfId="20" applyNumberFormat="1" applyFont="1" applyBorder="1" applyAlignment="1" applyProtection="1">
      <alignment horizontal="center" vertical="center" shrinkToFit="1"/>
      <protection hidden="1"/>
    </xf>
    <xf numFmtId="2" fontId="5" fillId="0" borderId="34" xfId="20" applyNumberFormat="1" applyFont="1" applyFill="1" applyBorder="1" applyAlignment="1" applyProtection="1">
      <alignment horizontal="center" vertical="center" shrinkToFit="1"/>
      <protection hidden="1"/>
    </xf>
    <xf numFmtId="2" fontId="5" fillId="0" borderId="0" xfId="20" applyNumberFormat="1" applyFont="1" applyFill="1" applyBorder="1" applyAlignment="1" applyProtection="1">
      <alignment horizontal="center" vertical="center" shrinkToFit="1"/>
      <protection hidden="1"/>
    </xf>
    <xf numFmtId="174" fontId="4" fillId="0" borderId="62" xfId="20" applyNumberFormat="1" applyFont="1" applyBorder="1" applyAlignment="1" applyProtection="1">
      <alignment horizontal="center"/>
      <protection hidden="1"/>
    </xf>
    <xf numFmtId="174" fontId="4" fillId="0" borderId="0" xfId="20" applyNumberFormat="1" applyFont="1" applyFill="1" applyBorder="1" applyAlignment="1" applyProtection="1">
      <alignment horizontal="center" vertical="center" shrinkToFit="1"/>
      <protection hidden="1"/>
    </xf>
    <xf numFmtId="174" fontId="4" fillId="0" borderId="13" xfId="20" applyNumberFormat="1" applyFont="1" applyFill="1" applyBorder="1" applyAlignment="1" applyProtection="1">
      <alignment horizontal="center" vertical="center" shrinkToFit="1"/>
      <protection hidden="1"/>
    </xf>
    <xf numFmtId="2" fontId="4" fillId="0" borderId="62" xfId="20" applyNumberFormat="1" applyFont="1" applyFill="1" applyBorder="1" applyAlignment="1" applyProtection="1">
      <alignment horizontal="center" vertical="center" shrinkToFit="1"/>
      <protection hidden="1"/>
    </xf>
    <xf numFmtId="2" fontId="4" fillId="0" borderId="63" xfId="20" applyNumberFormat="1" applyFont="1" applyFill="1" applyBorder="1" applyAlignment="1" applyProtection="1">
      <alignment horizontal="center" vertical="center" shrinkToFit="1"/>
      <protection hidden="1"/>
    </xf>
    <xf numFmtId="2" fontId="4" fillId="0" borderId="62" xfId="20" applyNumberFormat="1" applyFont="1" applyBorder="1" applyAlignment="1" applyProtection="1">
      <alignment horizontal="center"/>
      <protection hidden="1"/>
    </xf>
    <xf numFmtId="2" fontId="4" fillId="0" borderId="63" xfId="20" applyNumberFormat="1" applyFont="1" applyBorder="1" applyAlignment="1" applyProtection="1">
      <alignment horizontal="center"/>
      <protection hidden="1"/>
    </xf>
    <xf numFmtId="2" fontId="5" fillId="0" borderId="34" xfId="20" applyNumberFormat="1" applyFont="1" applyFill="1" applyBorder="1" applyAlignment="1" applyProtection="1">
      <alignment horizontal="center" vertical="center" shrinkToFit="1"/>
      <protection hidden="1"/>
    </xf>
    <xf numFmtId="2" fontId="5" fillId="0" borderId="0" xfId="20" applyNumberFormat="1" applyFont="1" applyFill="1" applyBorder="1" applyAlignment="1" applyProtection="1">
      <alignment horizontal="center" vertical="center" shrinkToFit="1"/>
      <protection hidden="1"/>
    </xf>
    <xf numFmtId="2" fontId="4" fillId="0" borderId="13" xfId="20" applyNumberFormat="1" applyFont="1" applyFill="1" applyBorder="1" applyAlignment="1" applyProtection="1">
      <alignment horizontal="center" vertical="center" shrinkToFit="1"/>
      <protection hidden="1"/>
    </xf>
    <xf numFmtId="2" fontId="4" fillId="0" borderId="61" xfId="20" applyNumberFormat="1" applyFont="1" applyFill="1" applyBorder="1" applyAlignment="1" applyProtection="1">
      <alignment horizontal="center" vertical="center" shrinkToFit="1"/>
      <protection hidden="1"/>
    </xf>
    <xf numFmtId="2" fontId="4" fillId="0" borderId="64" xfId="20" applyNumberFormat="1" applyFont="1" applyFill="1" applyBorder="1" applyAlignment="1" applyProtection="1">
      <alignment horizontal="center" vertical="center" shrinkToFit="1"/>
      <protection hidden="1"/>
    </xf>
    <xf numFmtId="2" fontId="5" fillId="0" borderId="65" xfId="20" applyNumberFormat="1" applyFont="1" applyFill="1" applyBorder="1" applyAlignment="1" applyProtection="1">
      <alignment horizontal="center" vertical="center" shrinkToFit="1"/>
      <protection hidden="1"/>
    </xf>
    <xf numFmtId="0" fontId="1" fillId="0" borderId="0" xfId="20" applyFont="1" applyBorder="1" applyAlignment="1" applyProtection="1">
      <alignment vertical="center"/>
      <protection hidden="1"/>
    </xf>
    <xf numFmtId="0" fontId="4" fillId="2" borderId="0" xfId="20" applyFill="1" applyAlignment="1" applyProtection="1">
      <alignment/>
      <protection hidden="1"/>
    </xf>
    <xf numFmtId="0" fontId="4" fillId="2" borderId="0" xfId="20" applyFill="1" applyAlignment="1" applyProtection="1">
      <alignment vertical="top"/>
      <protection hidden="1"/>
    </xf>
    <xf numFmtId="0" fontId="1" fillId="0" borderId="0" xfId="0" applyFont="1" applyFill="1" applyBorder="1" applyAlignment="1" applyProtection="1">
      <alignment vertical="center" shrinkToFit="1"/>
      <protection hidden="1"/>
    </xf>
    <xf numFmtId="3" fontId="1" fillId="0" borderId="0" xfId="20" applyNumberFormat="1" applyFont="1" applyFill="1" applyBorder="1" applyAlignment="1" applyProtection="1">
      <alignment horizontal="center" vertical="center" shrinkToFit="1"/>
      <protection hidden="1"/>
    </xf>
    <xf numFmtId="0" fontId="4" fillId="0" borderId="58" xfId="20" applyFont="1" applyBorder="1" applyAlignment="1" applyProtection="1">
      <alignment horizontal="center" vertical="center" shrinkToFit="1"/>
      <protection hidden="1"/>
    </xf>
    <xf numFmtId="185" fontId="9" fillId="0" borderId="43" xfId="20" applyNumberFormat="1" applyFont="1" applyBorder="1" applyAlignment="1" applyProtection="1">
      <alignment horizontal="center" vertical="center" shrinkToFit="1"/>
      <protection hidden="1"/>
    </xf>
    <xf numFmtId="0" fontId="48" fillId="0" borderId="38" xfId="20" applyFont="1" applyBorder="1" applyAlignment="1" applyProtection="1">
      <alignment horizontal="center" vertical="center" shrinkToFit="1"/>
      <protection hidden="1"/>
    </xf>
    <xf numFmtId="2" fontId="22" fillId="0" borderId="49" xfId="20" applyNumberFormat="1" applyFont="1" applyBorder="1" applyAlignment="1" applyProtection="1">
      <alignment horizontal="center" vertical="center" shrinkToFit="1"/>
      <protection hidden="1"/>
    </xf>
    <xf numFmtId="2" fontId="22" fillId="0" borderId="37" xfId="20" applyNumberFormat="1" applyFont="1" applyBorder="1" applyAlignment="1" applyProtection="1">
      <alignment horizontal="center" vertical="center" shrinkToFit="1"/>
      <protection hidden="1"/>
    </xf>
    <xf numFmtId="0" fontId="4" fillId="0" borderId="48" xfId="20" applyBorder="1" applyAlignment="1" applyProtection="1">
      <alignment vertical="center"/>
      <protection hidden="1"/>
    </xf>
    <xf numFmtId="1" fontId="9" fillId="0" borderId="43" xfId="20" applyNumberFormat="1" applyFont="1" applyBorder="1" applyAlignment="1" applyProtection="1">
      <alignment horizontal="center" vertical="center" shrinkToFit="1"/>
      <protection hidden="1"/>
    </xf>
    <xf numFmtId="1" fontId="9" fillId="0" borderId="37" xfId="20" applyNumberFormat="1" applyFont="1" applyBorder="1" applyAlignment="1" applyProtection="1">
      <alignment horizontal="center" vertical="center"/>
      <protection hidden="1"/>
    </xf>
    <xf numFmtId="173" fontId="42" fillId="0" borderId="66" xfId="20" applyNumberFormat="1" applyFont="1" applyFill="1" applyBorder="1" applyAlignment="1" applyProtection="1">
      <alignment horizontal="center" vertical="center" shrinkToFit="1"/>
      <protection hidden="1"/>
    </xf>
    <xf numFmtId="173" fontId="42" fillId="0" borderId="67" xfId="20" applyNumberFormat="1" applyFont="1" applyFill="1" applyBorder="1" applyAlignment="1" applyProtection="1">
      <alignment horizontal="center" vertical="center" shrinkToFit="1"/>
      <protection hidden="1"/>
    </xf>
    <xf numFmtId="173" fontId="42" fillId="0" borderId="67" xfId="20" applyNumberFormat="1" applyFont="1" applyBorder="1" applyAlignment="1" applyProtection="1">
      <alignment horizontal="center" vertical="center"/>
      <protection hidden="1"/>
    </xf>
    <xf numFmtId="2" fontId="4" fillId="0" borderId="43" xfId="20" applyNumberFormat="1" applyFont="1" applyBorder="1" applyAlignment="1" applyProtection="1">
      <alignment horizontal="center" vertical="center" shrinkToFit="1"/>
      <protection hidden="1"/>
    </xf>
    <xf numFmtId="0" fontId="18" fillId="0" borderId="20" xfId="20" applyFont="1" applyBorder="1" applyAlignment="1" applyProtection="1">
      <alignment horizontal="center" vertical="top"/>
      <protection hidden="1"/>
    </xf>
    <xf numFmtId="0" fontId="23" fillId="0" borderId="0" xfId="20" applyFont="1" applyBorder="1" applyAlignment="1" applyProtection="1">
      <alignment horizontal="center" vertical="center" shrinkToFit="1"/>
      <protection hidden="1"/>
    </xf>
    <xf numFmtId="0" fontId="1" fillId="0" borderId="34" xfId="0" applyFont="1" applyBorder="1" applyAlignment="1" applyProtection="1">
      <alignment vertical="center" shrinkToFit="1"/>
      <protection hidden="1"/>
    </xf>
    <xf numFmtId="0" fontId="4" fillId="0" borderId="33" xfId="0" applyFont="1" applyBorder="1" applyAlignment="1" applyProtection="1">
      <alignment horizontal="center" vertical="center"/>
      <protection hidden="1"/>
    </xf>
    <xf numFmtId="2" fontId="4" fillId="0" borderId="50" xfId="20" applyNumberFormat="1" applyFont="1" applyBorder="1" applyAlignment="1" applyProtection="1">
      <alignment horizontal="center" vertical="center" shrinkToFit="1"/>
      <protection hidden="1"/>
    </xf>
    <xf numFmtId="2" fontId="4" fillId="0" borderId="43" xfId="20" applyNumberFormat="1" applyFont="1" applyBorder="1" applyAlignment="1" applyProtection="1">
      <alignment horizontal="center" vertical="center"/>
      <protection hidden="1"/>
    </xf>
    <xf numFmtId="174" fontId="4" fillId="0" borderId="23" xfId="20" applyNumberFormat="1" applyFont="1" applyFill="1" applyBorder="1" applyAlignment="1" applyProtection="1">
      <alignment horizontal="center" vertical="center" shrinkToFit="1"/>
      <protection hidden="1"/>
    </xf>
    <xf numFmtId="0" fontId="0" fillId="0" borderId="53" xfId="0" applyFont="1" applyBorder="1" applyAlignment="1" applyProtection="1">
      <alignment horizontal="center" vertical="center"/>
      <protection hidden="1"/>
    </xf>
    <xf numFmtId="2" fontId="5" fillId="0" borderId="13" xfId="20" applyNumberFormat="1" applyFont="1" applyFill="1" applyBorder="1" applyAlignment="1" applyProtection="1">
      <alignment horizontal="center" vertical="center" shrinkToFit="1"/>
      <protection hidden="1"/>
    </xf>
    <xf numFmtId="2" fontId="5" fillId="0" borderId="54" xfId="20" applyNumberFormat="1" applyFont="1" applyFill="1" applyBorder="1" applyAlignment="1" applyProtection="1">
      <alignment horizontal="center" vertical="center" shrinkToFit="1"/>
      <protection hidden="1"/>
    </xf>
    <xf numFmtId="2" fontId="5" fillId="0" borderId="52" xfId="20" applyNumberFormat="1" applyFont="1" applyFill="1" applyBorder="1" applyAlignment="1" applyProtection="1">
      <alignment horizontal="center" vertical="center" shrinkToFit="1"/>
      <protection hidden="1"/>
    </xf>
    <xf numFmtId="0" fontId="3" fillId="2" borderId="0" xfId="0" applyFont="1" applyFill="1" applyAlignment="1" applyProtection="1">
      <alignment horizontal="left" vertical="center"/>
      <protection hidden="1"/>
    </xf>
    <xf numFmtId="173" fontId="13" fillId="0" borderId="43" xfId="20" applyNumberFormat="1" applyFont="1" applyFill="1" applyBorder="1" applyAlignment="1" applyProtection="1">
      <alignment horizontal="right" vertical="center" shrinkToFit="1"/>
      <protection hidden="1"/>
    </xf>
    <xf numFmtId="0" fontId="19" fillId="0" borderId="0" xfId="20" applyFont="1" applyAlignment="1" applyProtection="1">
      <alignment horizontal="center" vertical="center"/>
      <protection hidden="1"/>
    </xf>
    <xf numFmtId="0" fontId="4" fillId="0" borderId="34" xfId="20" applyBorder="1" applyAlignment="1" applyProtection="1">
      <alignment vertical="center"/>
      <protection hidden="1"/>
    </xf>
    <xf numFmtId="173" fontId="22" fillId="0" borderId="27" xfId="20" applyNumberFormat="1" applyFont="1" applyBorder="1" applyAlignment="1" applyProtection="1">
      <alignment horizontal="center" vertical="center" shrinkToFit="1"/>
      <protection hidden="1"/>
    </xf>
    <xf numFmtId="0" fontId="4" fillId="0" borderId="0" xfId="0" applyFont="1" applyBorder="1" applyAlignment="1" applyProtection="1">
      <alignment horizontal="center" vertical="center" shrinkToFit="1"/>
      <protection hidden="1"/>
    </xf>
    <xf numFmtId="0" fontId="4" fillId="0" borderId="0" xfId="20" applyFill="1" applyAlignment="1" applyProtection="1">
      <alignment vertical="center"/>
      <protection hidden="1"/>
    </xf>
    <xf numFmtId="0" fontId="5" fillId="0" borderId="0" xfId="0" applyFont="1" applyBorder="1" applyAlignment="1" applyProtection="1">
      <alignment horizontal="center" vertical="center" shrinkToFit="1"/>
      <protection hidden="1"/>
    </xf>
    <xf numFmtId="0" fontId="7" fillId="0" borderId="56" xfId="20" applyFont="1" applyBorder="1" applyAlignment="1" applyProtection="1">
      <alignment horizontal="center" vertical="center"/>
      <protection hidden="1"/>
    </xf>
    <xf numFmtId="0" fontId="1" fillId="0" borderId="44" xfId="0" applyFont="1" applyBorder="1" applyAlignment="1" applyProtection="1">
      <alignment vertical="center" shrinkToFit="1"/>
      <protection hidden="1"/>
    </xf>
    <xf numFmtId="0" fontId="4" fillId="0" borderId="44" xfId="0" applyFont="1" applyBorder="1" applyAlignment="1" applyProtection="1">
      <alignment horizontal="center" vertical="center"/>
      <protection hidden="1"/>
    </xf>
    <xf numFmtId="0" fontId="0" fillId="0" borderId="44" xfId="20" applyFont="1" applyBorder="1" applyAlignment="1" applyProtection="1">
      <alignment horizontal="center" vertical="center" shrinkToFit="1"/>
      <protection hidden="1"/>
    </xf>
    <xf numFmtId="0" fontId="21" fillId="0" borderId="18" xfId="20" applyNumberFormat="1" applyFont="1" applyBorder="1" applyAlignment="1" applyProtection="1">
      <alignment horizontal="center"/>
      <protection hidden="1"/>
    </xf>
    <xf numFmtId="0" fontId="28" fillId="0" borderId="0" xfId="20" applyFont="1" applyBorder="1" applyAlignment="1" applyProtection="1">
      <alignment vertical="center"/>
      <protection hidden="1"/>
    </xf>
    <xf numFmtId="0" fontId="1" fillId="0" borderId="68" xfId="20" applyFont="1" applyBorder="1" applyAlignment="1" applyProtection="1">
      <alignment vertical="center"/>
      <protection hidden="1"/>
    </xf>
    <xf numFmtId="0" fontId="1" fillId="0" borderId="37" xfId="20" applyFont="1" applyBorder="1" applyAlignment="1" applyProtection="1">
      <alignment vertical="center"/>
      <protection hidden="1"/>
    </xf>
    <xf numFmtId="0" fontId="0" fillId="0" borderId="0" xfId="0" applyBorder="1" applyAlignment="1" applyProtection="1">
      <alignment vertical="center" shrinkToFit="1"/>
      <protection hidden="1"/>
    </xf>
    <xf numFmtId="0" fontId="28" fillId="0" borderId="0" xfId="0" applyFont="1" applyAlignment="1" applyProtection="1">
      <alignment vertical="center" shrinkToFit="1"/>
      <protection hidden="1"/>
    </xf>
    <xf numFmtId="0" fontId="33" fillId="0" borderId="0" xfId="20" applyFont="1" applyBorder="1" applyAlignment="1" applyProtection="1">
      <alignment vertical="center"/>
      <protection hidden="1"/>
    </xf>
    <xf numFmtId="0" fontId="22" fillId="2" borderId="0" xfId="20" applyFont="1" applyFill="1" applyBorder="1" applyAlignment="1" applyProtection="1">
      <alignment horizontal="center" vertical="center" shrinkToFit="1"/>
      <protection hidden="1"/>
    </xf>
    <xf numFmtId="2" fontId="4" fillId="2" borderId="0" xfId="0" applyNumberFormat="1" applyFont="1" applyFill="1" applyBorder="1" applyAlignment="1" applyProtection="1">
      <alignment horizontal="center" vertical="center" shrinkToFit="1"/>
      <protection hidden="1"/>
    </xf>
    <xf numFmtId="173" fontId="28" fillId="2" borderId="0" xfId="0" applyNumberFormat="1" applyFont="1" applyFill="1" applyBorder="1" applyAlignment="1" applyProtection="1">
      <alignment horizontal="center" vertical="center" shrinkToFit="1"/>
      <protection hidden="1"/>
    </xf>
    <xf numFmtId="173" fontId="1" fillId="2" borderId="0" xfId="0" applyNumberFormat="1" applyFont="1" applyFill="1" applyBorder="1" applyAlignment="1" applyProtection="1">
      <alignment horizontal="center" vertical="center" shrinkToFit="1"/>
      <protection hidden="1"/>
    </xf>
    <xf numFmtId="0" fontId="27" fillId="2" borderId="2" xfId="0" applyFont="1" applyFill="1" applyBorder="1" applyAlignment="1" applyProtection="1">
      <alignment horizontal="center" vertical="center" shrinkToFit="1"/>
      <protection hidden="1"/>
    </xf>
    <xf numFmtId="0" fontId="0" fillId="0" borderId="0" xfId="20" applyFont="1" applyBorder="1" applyAlignment="1" applyProtection="1">
      <alignment horizontal="center" vertical="center"/>
      <protection hidden="1"/>
    </xf>
    <xf numFmtId="0" fontId="0" fillId="0" borderId="9" xfId="0" applyBorder="1" applyAlignment="1" applyProtection="1">
      <alignment horizontal="right" vertical="center" shrinkToFit="1"/>
      <protection hidden="1"/>
    </xf>
    <xf numFmtId="0" fontId="0" fillId="0" borderId="0" xfId="0" applyBorder="1" applyAlignment="1" applyProtection="1">
      <alignment horizontal="right" vertical="center" shrinkToFit="1"/>
      <protection hidden="1"/>
    </xf>
    <xf numFmtId="0" fontId="28" fillId="0" borderId="0" xfId="20" applyFont="1" applyBorder="1" applyAlignment="1" applyProtection="1">
      <alignment horizontal="left" vertical="center"/>
      <protection hidden="1"/>
    </xf>
    <xf numFmtId="0" fontId="8" fillId="0" borderId="0" xfId="0" applyFont="1" applyBorder="1" applyAlignment="1" applyProtection="1">
      <alignment horizontal="center" vertical="center" shrinkToFit="1"/>
      <protection hidden="1"/>
    </xf>
    <xf numFmtId="0" fontId="4" fillId="0" borderId="8" xfId="0" applyFont="1" applyBorder="1" applyAlignment="1" applyProtection="1">
      <alignment vertical="top" shrinkToFit="1"/>
      <protection hidden="1"/>
    </xf>
    <xf numFmtId="0" fontId="0" fillId="0" borderId="0" xfId="0" applyBorder="1" applyAlignment="1" applyProtection="1">
      <alignment shrinkToFit="1"/>
      <protection hidden="1"/>
    </xf>
    <xf numFmtId="0" fontId="0" fillId="0" borderId="13" xfId="0" applyBorder="1" applyAlignment="1" applyProtection="1">
      <alignment vertical="center" shrinkToFit="1"/>
      <protection hidden="1"/>
    </xf>
    <xf numFmtId="0" fontId="22" fillId="0" borderId="0" xfId="20" applyFont="1" applyBorder="1" applyAlignment="1" applyProtection="1">
      <alignment horizontal="right" vertical="center" shrinkToFit="1"/>
      <protection hidden="1"/>
    </xf>
    <xf numFmtId="0" fontId="0" fillId="0" borderId="0" xfId="0" applyBorder="1" applyAlignment="1" applyProtection="1">
      <alignment vertical="center"/>
      <protection hidden="1"/>
    </xf>
    <xf numFmtId="0" fontId="39" fillId="0" borderId="48" xfId="0" applyFont="1" applyBorder="1" applyAlignment="1" applyProtection="1">
      <alignment horizontal="center" vertical="center" shrinkToFit="1"/>
      <protection hidden="1"/>
    </xf>
    <xf numFmtId="0" fontId="4" fillId="0" borderId="2" xfId="0" applyFont="1" applyBorder="1" applyAlignment="1" applyProtection="1">
      <alignment horizontal="center" vertical="center" shrinkToFit="1"/>
      <protection hidden="1"/>
    </xf>
    <xf numFmtId="0" fontId="0" fillId="0" borderId="34" xfId="0" applyBorder="1" applyAlignment="1" applyProtection="1">
      <alignment horizontal="right" vertical="center" shrinkToFit="1"/>
      <protection hidden="1"/>
    </xf>
    <xf numFmtId="0" fontId="35" fillId="0" borderId="2" xfId="0" applyFont="1" applyBorder="1" applyAlignment="1" applyProtection="1">
      <alignment horizontal="center" vertical="center" shrinkToFit="1"/>
      <protection hidden="1"/>
    </xf>
    <xf numFmtId="0" fontId="28" fillId="0" borderId="0" xfId="20" applyFont="1" applyBorder="1" applyAlignment="1" applyProtection="1">
      <alignment horizontal="left"/>
      <protection hidden="1"/>
    </xf>
    <xf numFmtId="0" fontId="0" fillId="0" borderId="2" xfId="0" applyBorder="1" applyAlignment="1" applyProtection="1">
      <alignment shrinkToFit="1"/>
      <protection hidden="1"/>
    </xf>
    <xf numFmtId="0" fontId="22" fillId="0" borderId="0" xfId="20" applyFont="1" applyFill="1" applyBorder="1" applyAlignment="1" applyProtection="1">
      <alignment horizontal="right" vertical="top"/>
      <protection hidden="1"/>
    </xf>
    <xf numFmtId="0" fontId="32" fillId="0" borderId="0" xfId="20" applyFont="1" applyFill="1" applyBorder="1" applyAlignment="1" applyProtection="1">
      <alignment horizontal="right" vertical="top" shrinkToFit="1"/>
      <protection hidden="1"/>
    </xf>
    <xf numFmtId="0" fontId="32" fillId="0" borderId="0" xfId="0" applyFont="1" applyFill="1" applyBorder="1" applyAlignment="1" applyProtection="1">
      <alignment vertical="top" shrinkToFit="1"/>
      <protection hidden="1"/>
    </xf>
    <xf numFmtId="0" fontId="0" fillId="0" borderId="0" xfId="0" applyBorder="1" applyAlignment="1" applyProtection="1">
      <alignment vertical="top" shrinkToFit="1"/>
      <protection hidden="1"/>
    </xf>
    <xf numFmtId="0" fontId="0" fillId="0" borderId="2" xfId="0" applyBorder="1" applyAlignment="1" applyProtection="1">
      <alignment vertical="top" shrinkToFit="1"/>
      <protection hidden="1"/>
    </xf>
    <xf numFmtId="0" fontId="28" fillId="0" borderId="0" xfId="20" applyFont="1" applyBorder="1" applyAlignment="1" applyProtection="1">
      <alignment horizontal="left" vertical="top"/>
      <protection hidden="1"/>
    </xf>
    <xf numFmtId="0" fontId="4" fillId="0" borderId="38" xfId="20" applyFont="1" applyBorder="1" applyAlignment="1" applyProtection="1">
      <alignment horizontal="center" vertical="center" shrinkToFit="1"/>
      <protection hidden="1"/>
    </xf>
    <xf numFmtId="0" fontId="4" fillId="0" borderId="42" xfId="20" applyFont="1" applyBorder="1" applyAlignment="1" applyProtection="1">
      <alignment horizontal="center" vertical="top" shrinkToFit="1"/>
      <protection hidden="1"/>
    </xf>
    <xf numFmtId="0" fontId="28" fillId="0" borderId="0" xfId="20" applyFont="1" applyBorder="1" applyAlignment="1" applyProtection="1">
      <alignment horizontal="center" vertical="top"/>
      <protection hidden="1"/>
    </xf>
    <xf numFmtId="0" fontId="4" fillId="0" borderId="38" xfId="20" applyFont="1" applyBorder="1" applyAlignment="1" applyProtection="1">
      <alignment horizontal="center" shrinkToFit="1"/>
      <protection hidden="1"/>
    </xf>
    <xf numFmtId="0" fontId="28" fillId="0" borderId="0" xfId="20" applyFont="1" applyBorder="1" applyAlignment="1" applyProtection="1">
      <alignment horizontal="center"/>
      <protection hidden="1"/>
    </xf>
    <xf numFmtId="0" fontId="4" fillId="0" borderId="38" xfId="20" applyFont="1" applyBorder="1" applyAlignment="1" applyProtection="1">
      <alignment horizontal="center" vertical="top" shrinkToFit="1"/>
      <protection hidden="1"/>
    </xf>
    <xf numFmtId="0" fontId="4" fillId="0" borderId="12" xfId="20" applyFont="1" applyBorder="1" applyAlignment="1" applyProtection="1">
      <alignment horizontal="center" vertical="center" shrinkToFit="1"/>
      <protection hidden="1"/>
    </xf>
    <xf numFmtId="0" fontId="22" fillId="0" borderId="22" xfId="0" applyFont="1" applyBorder="1" applyAlignment="1" applyProtection="1">
      <alignment horizontal="right" shrinkToFit="1"/>
      <protection hidden="1"/>
    </xf>
    <xf numFmtId="0" fontId="28" fillId="0" borderId="0" xfId="20" applyNumberFormat="1" applyFont="1" applyBorder="1" applyAlignment="1" applyProtection="1">
      <alignment vertical="center"/>
      <protection hidden="1"/>
    </xf>
    <xf numFmtId="0" fontId="0" fillId="0" borderId="0" xfId="0" applyBorder="1" applyAlignment="1" applyProtection="1">
      <alignment horizontal="center" vertical="center" shrinkToFit="1"/>
      <protection hidden="1"/>
    </xf>
    <xf numFmtId="0" fontId="4" fillId="0" borderId="43" xfId="20" applyFont="1" applyBorder="1" applyAlignment="1" applyProtection="1">
      <alignment horizontal="center" vertical="center" shrinkToFit="1"/>
      <protection hidden="1"/>
    </xf>
    <xf numFmtId="0" fontId="33" fillId="0" borderId="0" xfId="20" applyFont="1" applyBorder="1" applyAlignment="1" applyProtection="1">
      <alignment horizontal="center" vertical="center"/>
      <protection hidden="1"/>
    </xf>
    <xf numFmtId="0" fontId="4" fillId="0" borderId="58" xfId="20" applyFont="1" applyBorder="1" applyAlignment="1" applyProtection="1">
      <alignment horizontal="center" shrinkToFit="1"/>
      <protection hidden="1"/>
    </xf>
    <xf numFmtId="0" fontId="0" fillId="0" borderId="28" xfId="0" applyBorder="1" applyAlignment="1" applyProtection="1">
      <alignment vertical="center" shrinkToFit="1"/>
      <protection hidden="1"/>
    </xf>
    <xf numFmtId="0" fontId="11" fillId="0" borderId="28" xfId="20" applyFont="1" applyBorder="1" applyAlignment="1" applyProtection="1">
      <alignment horizontal="right" vertical="center"/>
      <protection hidden="1"/>
    </xf>
    <xf numFmtId="0" fontId="0" fillId="0" borderId="44" xfId="0" applyBorder="1" applyAlignment="1" applyProtection="1">
      <alignment vertical="top" shrinkToFit="1"/>
      <protection hidden="1"/>
    </xf>
    <xf numFmtId="173" fontId="4" fillId="0" borderId="22" xfId="0" applyNumberFormat="1" applyFont="1" applyBorder="1" applyAlignment="1" applyProtection="1">
      <alignment horizontal="center" vertical="center" shrinkToFit="1"/>
      <protection hidden="1"/>
    </xf>
    <xf numFmtId="173" fontId="4" fillId="0" borderId="69" xfId="0" applyNumberFormat="1" applyFont="1" applyBorder="1" applyAlignment="1" applyProtection="1">
      <alignment horizontal="center" vertical="center" shrinkToFit="1"/>
      <protection hidden="1"/>
    </xf>
    <xf numFmtId="0" fontId="0" fillId="0" borderId="9" xfId="0" applyBorder="1" applyAlignment="1" applyProtection="1">
      <alignment shrinkToFit="1"/>
      <protection hidden="1"/>
    </xf>
    <xf numFmtId="0" fontId="17" fillId="0" borderId="0" xfId="0" applyFont="1" applyBorder="1" applyAlignment="1" applyProtection="1">
      <alignment vertical="center" shrinkToFit="1"/>
      <protection hidden="1"/>
    </xf>
    <xf numFmtId="0" fontId="9" fillId="0" borderId="0" xfId="0" applyFont="1" applyBorder="1" applyAlignment="1" applyProtection="1">
      <alignment horizontal="right" shrinkToFit="1"/>
      <protection hidden="1"/>
    </xf>
    <xf numFmtId="0" fontId="9" fillId="0" borderId="0" xfId="0" applyFont="1" applyBorder="1" applyAlignment="1" applyProtection="1">
      <alignment horizontal="left" shrinkToFit="1"/>
      <protection hidden="1"/>
    </xf>
    <xf numFmtId="0" fontId="4" fillId="0" borderId="9" xfId="0" applyFont="1" applyBorder="1" applyAlignment="1" applyProtection="1">
      <alignment horizontal="center" vertical="center" shrinkToFit="1"/>
      <protection hidden="1"/>
    </xf>
    <xf numFmtId="0" fontId="4" fillId="0" borderId="12" xfId="20" applyFont="1" applyBorder="1" applyAlignment="1" applyProtection="1">
      <alignment horizontal="center" vertical="top" shrinkToFit="1"/>
      <protection hidden="1"/>
    </xf>
    <xf numFmtId="0" fontId="28" fillId="0" borderId="0" xfId="0" applyFont="1" applyAlignment="1" applyProtection="1">
      <alignment horizontal="center" vertical="center" shrinkToFit="1"/>
      <protection hidden="1"/>
    </xf>
    <xf numFmtId="0" fontId="4" fillId="0" borderId="11" xfId="2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83" fontId="4" fillId="0" borderId="0" xfId="0" applyNumberFormat="1" applyFont="1" applyBorder="1" applyAlignment="1" applyProtection="1">
      <alignment horizontal="left" vertical="center" shrinkToFit="1"/>
      <protection hidden="1"/>
    </xf>
    <xf numFmtId="3" fontId="3" fillId="0" borderId="0" xfId="0" applyNumberFormat="1" applyFont="1" applyBorder="1" applyAlignment="1" applyProtection="1">
      <alignment horizontal="left" vertical="center" shrinkToFit="1"/>
      <protection hidden="1"/>
    </xf>
    <xf numFmtId="0" fontId="9" fillId="0" borderId="22" xfId="0" applyFont="1" applyBorder="1" applyAlignment="1" applyProtection="1">
      <alignment horizontal="center" shrinkToFit="1"/>
      <protection hidden="1"/>
    </xf>
    <xf numFmtId="0" fontId="4" fillId="0" borderId="49" xfId="0" applyFont="1" applyBorder="1" applyAlignment="1" applyProtection="1">
      <alignment horizontal="center" vertical="center" shrinkToFit="1"/>
      <protection hidden="1"/>
    </xf>
    <xf numFmtId="174" fontId="28" fillId="0" borderId="0" xfId="0" applyNumberFormat="1" applyFont="1" applyBorder="1" applyAlignment="1" applyProtection="1">
      <alignment horizontal="center" vertical="center" shrinkToFit="1"/>
      <protection hidden="1"/>
    </xf>
    <xf numFmtId="0" fontId="4" fillId="0" borderId="0" xfId="0" applyFont="1" applyBorder="1" applyAlignment="1" applyProtection="1">
      <alignment horizontal="center" vertical="center" shrinkToFit="1"/>
      <protection hidden="1"/>
    </xf>
    <xf numFmtId="0" fontId="28" fillId="0" borderId="0" xfId="0" applyFont="1" applyBorder="1" applyAlignment="1" applyProtection="1">
      <alignment/>
      <protection hidden="1"/>
    </xf>
    <xf numFmtId="0" fontId="4" fillId="0" borderId="60" xfId="0" applyFont="1" applyBorder="1" applyAlignment="1" applyProtection="1">
      <alignment horizontal="center" vertical="center" shrinkToFit="1"/>
      <protection hidden="1"/>
    </xf>
    <xf numFmtId="173" fontId="4" fillId="0" borderId="9" xfId="0" applyNumberFormat="1" applyFont="1" applyBorder="1" applyAlignment="1" applyProtection="1">
      <alignment horizontal="right" vertical="center" shrinkToFit="1"/>
      <protection hidden="1"/>
    </xf>
    <xf numFmtId="173" fontId="4" fillId="0" borderId="0" xfId="0" applyNumberFormat="1" applyFont="1" applyBorder="1" applyAlignment="1" applyProtection="1">
      <alignment horizontal="center" vertical="center" shrinkToFit="1"/>
      <protection hidden="1"/>
    </xf>
    <xf numFmtId="173" fontId="4" fillId="0" borderId="8" xfId="0" applyNumberFormat="1" applyFont="1" applyBorder="1" applyAlignment="1" applyProtection="1">
      <alignment horizontal="right" vertical="center" shrinkToFit="1"/>
      <protection hidden="1"/>
    </xf>
    <xf numFmtId="0" fontId="0" fillId="0" borderId="22" xfId="0" applyBorder="1" applyAlignment="1" applyProtection="1">
      <alignment/>
      <protection hidden="1"/>
    </xf>
    <xf numFmtId="174" fontId="5" fillId="0" borderId="22" xfId="0" applyNumberFormat="1" applyFont="1" applyBorder="1" applyAlignment="1" applyProtection="1">
      <alignment horizontal="center" vertical="center" shrinkToFit="1"/>
      <protection hidden="1"/>
    </xf>
    <xf numFmtId="0" fontId="43" fillId="0" borderId="14" xfId="0" applyFont="1" applyBorder="1" applyAlignment="1" applyProtection="1">
      <alignment horizontal="center" vertical="center" shrinkToFit="1"/>
      <protection hidden="1"/>
    </xf>
    <xf numFmtId="0" fontId="22" fillId="0" borderId="20" xfId="0" applyFont="1" applyBorder="1" applyAlignment="1" applyProtection="1">
      <alignment horizontal="center" vertical="center" shrinkToFit="1"/>
      <protection hidden="1"/>
    </xf>
    <xf numFmtId="0" fontId="1" fillId="0" borderId="52" xfId="0" applyFont="1" applyBorder="1" applyAlignment="1" applyProtection="1">
      <alignment shrinkToFit="1"/>
      <protection hidden="1"/>
    </xf>
    <xf numFmtId="3" fontId="4" fillId="0" borderId="13" xfId="0" applyNumberFormat="1" applyFont="1" applyBorder="1" applyAlignment="1" applyProtection="1">
      <alignment horizontal="center" vertical="center" shrinkToFit="1"/>
      <protection hidden="1"/>
    </xf>
    <xf numFmtId="174" fontId="4" fillId="0" borderId="13" xfId="0" applyNumberFormat="1" applyFont="1" applyBorder="1" applyAlignment="1" applyProtection="1">
      <alignment horizontal="center" vertical="center" shrinkToFit="1"/>
      <protection hidden="1"/>
    </xf>
    <xf numFmtId="0" fontId="0" fillId="0" borderId="44" xfId="0" applyBorder="1" applyAlignment="1" applyProtection="1">
      <alignment vertical="center" shrinkToFit="1"/>
      <protection hidden="1"/>
    </xf>
    <xf numFmtId="0" fontId="0" fillId="0" borderId="44" xfId="0" applyBorder="1" applyAlignment="1" applyProtection="1">
      <alignment horizontal="center" vertical="center" shrinkToFit="1"/>
      <protection hidden="1"/>
    </xf>
    <xf numFmtId="0" fontId="5" fillId="0" borderId="44" xfId="0" applyFont="1" applyBorder="1" applyAlignment="1" applyProtection="1">
      <alignment horizontal="center" vertical="center" shrinkToFit="1"/>
      <protection hidden="1"/>
    </xf>
    <xf numFmtId="0" fontId="0" fillId="0" borderId="22" xfId="0" applyBorder="1" applyAlignment="1" applyProtection="1">
      <alignment shrinkToFit="1"/>
      <protection hidden="1"/>
    </xf>
    <xf numFmtId="0" fontId="4" fillId="0" borderId="11" xfId="20" applyFont="1" applyBorder="1" applyAlignment="1" applyProtection="1">
      <alignment horizontal="center" vertical="center" shrinkToFit="1"/>
      <protection hidden="1"/>
    </xf>
    <xf numFmtId="0" fontId="0" fillId="0" borderId="2" xfId="0" applyFont="1" applyBorder="1" applyAlignment="1" applyProtection="1">
      <alignment horizontal="center" vertical="center" shrinkToFit="1"/>
      <protection hidden="1"/>
    </xf>
    <xf numFmtId="0" fontId="4" fillId="0" borderId="70" xfId="20" applyFont="1" applyBorder="1" applyAlignment="1" applyProtection="1">
      <alignment vertical="center"/>
      <protection locked="0"/>
    </xf>
    <xf numFmtId="0" fontId="0" fillId="0" borderId="0" xfId="0" applyAlignment="1" applyProtection="1">
      <alignment vertical="center" shrinkToFit="1"/>
      <protection hidden="1"/>
    </xf>
    <xf numFmtId="0" fontId="13" fillId="0" borderId="0" xfId="20" applyFont="1" applyBorder="1" applyAlignment="1" applyProtection="1">
      <alignment vertical="center"/>
      <protection hidden="1"/>
    </xf>
    <xf numFmtId="0" fontId="0" fillId="0" borderId="0" xfId="0" applyBorder="1" applyAlignment="1" applyProtection="1">
      <alignment horizontal="left" vertical="top"/>
      <protection hidden="1"/>
    </xf>
    <xf numFmtId="0" fontId="1" fillId="0" borderId="0" xfId="20" applyFont="1" applyFill="1" applyBorder="1" applyAlignment="1" applyProtection="1">
      <alignment horizontal="center" vertical="center"/>
      <protection hidden="1"/>
    </xf>
    <xf numFmtId="0" fontId="0" fillId="0" borderId="19" xfId="0" applyBorder="1" applyAlignment="1" applyProtection="1">
      <alignment vertical="center" shrinkToFit="1"/>
      <protection hidden="1"/>
    </xf>
    <xf numFmtId="0" fontId="4" fillId="0" borderId="0" xfId="20" applyBorder="1" applyAlignment="1" applyProtection="1">
      <alignment horizontal="left"/>
      <protection hidden="1"/>
    </xf>
    <xf numFmtId="173" fontId="42" fillId="0" borderId="66" xfId="0" applyNumberFormat="1" applyFont="1" applyFill="1" applyBorder="1" applyAlignment="1" applyProtection="1">
      <alignment horizontal="center" vertical="center" shrinkToFit="1"/>
      <protection hidden="1"/>
    </xf>
    <xf numFmtId="0" fontId="40" fillId="0" borderId="2" xfId="0" applyFont="1" applyBorder="1" applyAlignment="1" applyProtection="1">
      <alignment horizontal="center" vertical="center" shrinkToFit="1"/>
      <protection hidden="1"/>
    </xf>
    <xf numFmtId="0" fontId="17" fillId="0" borderId="0" xfId="20" applyFont="1" applyFill="1" applyBorder="1" applyAlignment="1" applyProtection="1">
      <alignment horizontal="left" vertical="top"/>
      <protection hidden="1"/>
    </xf>
    <xf numFmtId="0" fontId="4" fillId="0" borderId="0" xfId="2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14" fillId="0" borderId="2" xfId="0" applyFont="1" applyBorder="1" applyAlignment="1" applyProtection="1">
      <alignment horizontal="center" vertical="center" shrinkToFit="1"/>
      <protection hidden="1"/>
    </xf>
    <xf numFmtId="0" fontId="4" fillId="0" borderId="0" xfId="0" applyFont="1" applyAlignment="1" applyProtection="1">
      <alignment horizontal="center" vertical="center" shrinkToFit="1"/>
      <protection hidden="1"/>
    </xf>
    <xf numFmtId="0" fontId="4" fillId="0" borderId="0" xfId="20" applyFont="1" applyBorder="1" applyAlignment="1" applyProtection="1">
      <alignment horizontal="left"/>
      <protection hidden="1"/>
    </xf>
    <xf numFmtId="3" fontId="0" fillId="0" borderId="20" xfId="0" applyNumberFormat="1" applyFill="1" applyBorder="1" applyAlignment="1" applyProtection="1">
      <alignment horizontal="center" vertical="center" shrinkToFit="1"/>
      <protection hidden="1"/>
    </xf>
    <xf numFmtId="0" fontId="50" fillId="0" borderId="8" xfId="0" applyFont="1" applyBorder="1" applyAlignment="1" applyProtection="1">
      <alignment horizontal="right" vertical="top" shrinkToFit="1"/>
      <protection hidden="1"/>
    </xf>
    <xf numFmtId="0" fontId="4" fillId="0" borderId="19" xfId="0" applyFont="1" applyBorder="1" applyAlignment="1" applyProtection="1">
      <alignment horizontal="center" vertical="center" shrinkToFit="1"/>
      <protection hidden="1"/>
    </xf>
    <xf numFmtId="0" fontId="4" fillId="0" borderId="58" xfId="0" applyFont="1" applyBorder="1" applyAlignment="1" applyProtection="1">
      <alignment horizontal="center" vertical="center" shrinkToFit="1"/>
      <protection hidden="1"/>
    </xf>
    <xf numFmtId="0" fontId="0" fillId="0" borderId="0" xfId="0" applyFill="1" applyBorder="1" applyAlignment="1" applyProtection="1">
      <alignment shrinkToFit="1"/>
      <protection hidden="1"/>
    </xf>
    <xf numFmtId="0" fontId="0" fillId="0" borderId="0" xfId="0" applyFill="1" applyBorder="1" applyAlignment="1" applyProtection="1">
      <alignment vertical="center" shrinkToFit="1"/>
      <protection hidden="1"/>
    </xf>
    <xf numFmtId="3" fontId="0" fillId="0" borderId="2" xfId="0" applyNumberFormat="1" applyFill="1" applyBorder="1" applyAlignment="1" applyProtection="1">
      <alignment horizontal="center" vertical="center" shrinkToFit="1"/>
      <protection hidden="1"/>
    </xf>
    <xf numFmtId="0" fontId="4" fillId="0" borderId="0" xfId="20" applyBorder="1" applyAlignment="1" applyProtection="1">
      <alignment horizontal="center" vertical="center"/>
      <protection hidden="1"/>
    </xf>
    <xf numFmtId="0" fontId="9" fillId="0" borderId="58" xfId="20" applyFont="1" applyBorder="1" applyAlignment="1" applyProtection="1">
      <alignment horizontal="center" vertical="center" shrinkToFit="1"/>
      <protection hidden="1"/>
    </xf>
    <xf numFmtId="0" fontId="56" fillId="0" borderId="2" xfId="0" applyFont="1" applyBorder="1" applyAlignment="1" applyProtection="1">
      <alignment horizontal="center" vertical="center" shrinkToFit="1"/>
      <protection hidden="1"/>
    </xf>
    <xf numFmtId="0" fontId="9" fillId="0" borderId="38" xfId="20" applyFont="1" applyBorder="1" applyAlignment="1" applyProtection="1">
      <alignment horizontal="center" vertical="center" shrinkToFit="1"/>
      <protection hidden="1"/>
    </xf>
    <xf numFmtId="173" fontId="9" fillId="0" borderId="37" xfId="0" applyNumberFormat="1" applyFont="1" applyBorder="1" applyAlignment="1" applyProtection="1">
      <alignment horizontal="center" vertical="center" shrinkToFit="1"/>
      <protection hidden="1"/>
    </xf>
    <xf numFmtId="2" fontId="9" fillId="0" borderId="37" xfId="0" applyNumberFormat="1" applyFont="1" applyBorder="1" applyAlignment="1" applyProtection="1">
      <alignment horizontal="center" vertical="center" shrinkToFit="1"/>
      <protection hidden="1"/>
    </xf>
    <xf numFmtId="0" fontId="9" fillId="0" borderId="37" xfId="0" applyFont="1" applyBorder="1" applyAlignment="1" applyProtection="1">
      <alignment horizontal="center" vertical="center" shrinkToFit="1"/>
      <protection hidden="1"/>
    </xf>
    <xf numFmtId="3" fontId="9" fillId="0" borderId="37" xfId="0" applyNumberFormat="1" applyFont="1" applyBorder="1" applyAlignment="1" applyProtection="1">
      <alignment horizontal="center" vertical="center" shrinkToFit="1"/>
      <protection hidden="1"/>
    </xf>
    <xf numFmtId="0" fontId="18" fillId="0" borderId="22" xfId="0" applyFont="1" applyBorder="1" applyAlignment="1" applyProtection="1">
      <alignment horizontal="center" vertical="top" shrinkToFit="1"/>
      <protection hidden="1"/>
    </xf>
    <xf numFmtId="0" fontId="18" fillId="0" borderId="14" xfId="0" applyFont="1" applyBorder="1" applyAlignment="1" applyProtection="1">
      <alignment horizontal="center" vertical="top" shrinkToFit="1"/>
      <protection hidden="1"/>
    </xf>
    <xf numFmtId="0" fontId="4" fillId="0" borderId="58" xfId="20" applyFont="1" applyBorder="1" applyAlignment="1" applyProtection="1">
      <alignment horizontal="center" vertical="center" shrinkToFit="1"/>
      <protection hidden="1"/>
    </xf>
    <xf numFmtId="0" fontId="8" fillId="0" borderId="8" xfId="0" applyFont="1" applyBorder="1" applyAlignment="1" applyProtection="1">
      <alignment horizontal="right" shrinkToFit="1"/>
      <protection hidden="1"/>
    </xf>
    <xf numFmtId="0" fontId="4" fillId="0" borderId="58" xfId="0" applyFont="1" applyBorder="1" applyAlignment="1" applyProtection="1">
      <alignment horizontal="center" vertical="center" shrinkToFit="1"/>
      <protection hidden="1"/>
    </xf>
    <xf numFmtId="0" fontId="22" fillId="0" borderId="37" xfId="0" applyFont="1" applyBorder="1" applyAlignment="1" applyProtection="1">
      <alignment horizontal="center" vertical="center" shrinkToFit="1"/>
      <protection hidden="1"/>
    </xf>
    <xf numFmtId="0" fontId="25" fillId="0" borderId="54" xfId="0" applyFont="1" applyBorder="1" applyAlignment="1" applyProtection="1">
      <alignment vertical="center" shrinkToFit="1"/>
      <protection hidden="1"/>
    </xf>
    <xf numFmtId="0" fontId="25" fillId="0" borderId="52" xfId="0" applyFont="1" applyBorder="1" applyAlignment="1" applyProtection="1">
      <alignment vertical="center" shrinkToFit="1"/>
      <protection hidden="1"/>
    </xf>
    <xf numFmtId="0" fontId="22" fillId="0" borderId="71" xfId="0" applyFont="1" applyBorder="1" applyAlignment="1" applyProtection="1">
      <alignment horizontal="center" vertical="center" shrinkToFit="1"/>
      <protection hidden="1"/>
    </xf>
    <xf numFmtId="174" fontId="2" fillId="2" borderId="0" xfId="0" applyNumberFormat="1" applyFont="1" applyFill="1" applyBorder="1" applyAlignment="1" applyProtection="1">
      <alignment horizontal="center" vertical="center" shrinkToFit="1"/>
      <protection hidden="1"/>
    </xf>
    <xf numFmtId="0" fontId="4" fillId="2" borderId="0" xfId="0" applyFont="1" applyFill="1" applyBorder="1" applyAlignment="1" applyProtection="1">
      <alignment horizontal="center" vertical="center" shrinkToFit="1"/>
      <protection hidden="1"/>
    </xf>
    <xf numFmtId="0" fontId="4" fillId="2" borderId="0" xfId="0" applyFont="1" applyFill="1" applyBorder="1" applyAlignment="1" applyProtection="1">
      <alignment horizontal="left" vertical="center" shrinkToFit="1"/>
      <protection hidden="1"/>
    </xf>
    <xf numFmtId="0" fontId="4" fillId="2" borderId="2" xfId="0" applyFont="1" applyFill="1" applyBorder="1" applyAlignment="1" applyProtection="1">
      <alignment horizontal="left" vertical="center" shrinkToFit="1"/>
      <protection hidden="1"/>
    </xf>
    <xf numFmtId="0" fontId="0" fillId="0" borderId="9" xfId="0" applyBorder="1" applyAlignment="1" applyProtection="1">
      <alignment horizontal="left" vertical="center" shrinkToFit="1"/>
      <protection hidden="1"/>
    </xf>
    <xf numFmtId="0" fontId="0" fillId="0" borderId="20" xfId="0" applyBorder="1" applyAlignment="1" applyProtection="1">
      <alignment horizontal="left" vertical="center" shrinkToFit="1"/>
      <protection hidden="1"/>
    </xf>
    <xf numFmtId="0" fontId="8" fillId="0" borderId="9" xfId="0" applyFont="1" applyBorder="1" applyAlignment="1" applyProtection="1">
      <alignment horizontal="center" vertical="center" shrinkToFit="1"/>
      <protection hidden="1"/>
    </xf>
    <xf numFmtId="0" fontId="4" fillId="0" borderId="20" xfId="0" applyFont="1" applyBorder="1" applyAlignment="1" applyProtection="1">
      <alignment horizontal="left" vertical="center" shrinkToFit="1"/>
      <protection hidden="1"/>
    </xf>
    <xf numFmtId="0" fontId="8" fillId="0" borderId="8" xfId="0" applyFont="1" applyBorder="1" applyAlignment="1" applyProtection="1">
      <alignment horizontal="center" vertical="center" shrinkToFit="1"/>
      <protection hidden="1"/>
    </xf>
    <xf numFmtId="0" fontId="4" fillId="0" borderId="0" xfId="20" applyBorder="1" applyAlignment="1" applyProtection="1">
      <alignment horizontal="left" vertical="center"/>
      <protection hidden="1"/>
    </xf>
    <xf numFmtId="0" fontId="22" fillId="0" borderId="0" xfId="20" applyFont="1" applyBorder="1" applyAlignment="1" applyProtection="1">
      <alignment horizontal="right" vertical="top"/>
      <protection hidden="1"/>
    </xf>
    <xf numFmtId="0" fontId="0" fillId="0" borderId="14" xfId="0" applyBorder="1" applyAlignment="1" applyProtection="1">
      <alignment vertical="center" shrinkToFit="1"/>
      <protection hidden="1"/>
    </xf>
    <xf numFmtId="0" fontId="14" fillId="0" borderId="0" xfId="20" applyFont="1" applyFill="1" applyBorder="1" applyAlignment="1" applyProtection="1">
      <alignment horizontal="right" vertical="center"/>
      <protection hidden="1"/>
    </xf>
    <xf numFmtId="0" fontId="14" fillId="0" borderId="0" xfId="0" applyFont="1" applyFill="1" applyBorder="1" applyAlignment="1" applyProtection="1">
      <alignment horizontal="right" vertical="center"/>
      <protection hidden="1"/>
    </xf>
    <xf numFmtId="0" fontId="1" fillId="0" borderId="0" xfId="20" applyFont="1" applyFill="1" applyBorder="1" applyAlignment="1" applyProtection="1">
      <alignment horizontal="center" vertical="top"/>
      <protection hidden="1"/>
    </xf>
    <xf numFmtId="0" fontId="4" fillId="0" borderId="0" xfId="20" applyFont="1" applyFill="1" applyBorder="1" applyAlignment="1" applyProtection="1">
      <alignment horizontal="right" vertical="top"/>
      <protection hidden="1"/>
    </xf>
    <xf numFmtId="0" fontId="4" fillId="0" borderId="0" xfId="0" applyFont="1" applyFill="1" applyBorder="1" applyAlignment="1" applyProtection="1">
      <alignment/>
      <protection hidden="1"/>
    </xf>
    <xf numFmtId="0" fontId="4" fillId="0" borderId="0" xfId="0" applyFont="1" applyFill="1" applyBorder="1" applyAlignment="1" applyProtection="1">
      <alignment horizontal="left" vertical="center"/>
      <protection hidden="1"/>
    </xf>
    <xf numFmtId="0" fontId="4" fillId="0" borderId="2" xfId="0" applyFont="1" applyBorder="1" applyAlignment="1" applyProtection="1">
      <alignment horizontal="center" vertical="center" shrinkToFit="1"/>
      <protection hidden="1"/>
    </xf>
    <xf numFmtId="0" fontId="22" fillId="0" borderId="19" xfId="0" applyFont="1" applyBorder="1" applyAlignment="1" applyProtection="1">
      <alignment horizontal="center" vertical="center" shrinkToFit="1"/>
      <protection hidden="1"/>
    </xf>
    <xf numFmtId="0" fontId="2" fillId="0" borderId="22" xfId="0" applyFont="1" applyBorder="1" applyAlignment="1" applyProtection="1">
      <alignment horizontal="center" shrinkToFit="1"/>
      <protection hidden="1"/>
    </xf>
    <xf numFmtId="174" fontId="4" fillId="0" borderId="43" xfId="0" applyNumberFormat="1" applyFont="1" applyBorder="1" applyAlignment="1" applyProtection="1">
      <alignment horizontal="center" vertical="center" shrinkToFit="1"/>
      <protection hidden="1"/>
    </xf>
    <xf numFmtId="174" fontId="4" fillId="0" borderId="0" xfId="0" applyNumberFormat="1" applyFont="1" applyBorder="1" applyAlignment="1" applyProtection="1">
      <alignment horizontal="center" vertical="center" shrinkToFit="1"/>
      <protection hidden="1"/>
    </xf>
    <xf numFmtId="174" fontId="4" fillId="0" borderId="37" xfId="0" applyNumberFormat="1" applyFont="1" applyBorder="1" applyAlignment="1" applyProtection="1">
      <alignment horizontal="center" vertical="center" shrinkToFit="1"/>
      <protection hidden="1"/>
    </xf>
    <xf numFmtId="2" fontId="4" fillId="0" borderId="43" xfId="0" applyNumberFormat="1" applyFont="1" applyFill="1" applyBorder="1" applyAlignment="1" applyProtection="1">
      <alignment horizontal="center" vertical="center" shrinkToFit="1"/>
      <protection hidden="1"/>
    </xf>
    <xf numFmtId="2" fontId="4" fillId="0" borderId="37" xfId="0" applyNumberFormat="1" applyFont="1" applyFill="1" applyBorder="1" applyAlignment="1" applyProtection="1">
      <alignment horizontal="center" vertical="center" shrinkToFit="1"/>
      <protection hidden="1"/>
    </xf>
    <xf numFmtId="0" fontId="3" fillId="0" borderId="37" xfId="0" applyFont="1" applyBorder="1" applyAlignment="1" applyProtection="1">
      <alignment horizontal="center" vertical="center" shrinkToFit="1"/>
      <protection hidden="1"/>
    </xf>
    <xf numFmtId="0" fontId="22" fillId="0" borderId="2" xfId="20" applyFont="1" applyFill="1" applyBorder="1" applyAlignment="1" applyProtection="1">
      <alignment horizontal="center" vertical="center"/>
      <protection hidden="1"/>
    </xf>
    <xf numFmtId="0" fontId="18" fillId="0" borderId="0" xfId="0" applyFont="1" applyFill="1" applyBorder="1" applyAlignment="1" applyProtection="1">
      <alignment horizontal="right" vertical="center"/>
      <protection hidden="1"/>
    </xf>
    <xf numFmtId="0" fontId="9" fillId="0" borderId="0" xfId="0" applyNumberFormat="1" applyFont="1" applyFill="1" applyBorder="1" applyAlignment="1" applyProtection="1">
      <alignment horizontal="center" vertical="center"/>
      <protection locked="0"/>
    </xf>
    <xf numFmtId="173" fontId="9" fillId="0" borderId="0" xfId="0" applyNumberFormat="1" applyFont="1" applyFill="1" applyBorder="1" applyAlignment="1" applyProtection="1">
      <alignment horizontal="center" vertical="center"/>
      <protection locked="0"/>
    </xf>
    <xf numFmtId="173" fontId="9" fillId="0" borderId="0" xfId="0" applyNumberFormat="1" applyFont="1" applyBorder="1" applyAlignment="1" applyProtection="1">
      <alignment horizontal="center" vertical="center"/>
      <protection locked="0"/>
    </xf>
    <xf numFmtId="0" fontId="9" fillId="0" borderId="0" xfId="0" applyNumberFormat="1" applyFont="1" applyBorder="1" applyAlignment="1" applyProtection="1">
      <alignment horizontal="center" vertical="center"/>
      <protection locked="0"/>
    </xf>
    <xf numFmtId="0" fontId="4" fillId="0" borderId="0" xfId="0" applyNumberFormat="1" applyFont="1" applyBorder="1" applyAlignment="1" applyProtection="1">
      <alignment horizontal="center" vertical="center"/>
      <protection locked="0"/>
    </xf>
    <xf numFmtId="173" fontId="4" fillId="0" borderId="0" xfId="0" applyNumberFormat="1" applyFont="1" applyBorder="1" applyAlignment="1" applyProtection="1">
      <alignment horizontal="center" vertical="center"/>
      <protection locked="0"/>
    </xf>
    <xf numFmtId="173" fontId="4" fillId="0" borderId="0"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0" fontId="4" fillId="0" borderId="0" xfId="0" applyFont="1" applyBorder="1" applyAlignment="1" applyProtection="1" quotePrefix="1">
      <alignment horizontal="center" vertical="center"/>
      <protection locked="0"/>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3" fontId="5" fillId="0" borderId="0" xfId="0" applyNumberFormat="1" applyFont="1" applyBorder="1" applyAlignment="1" applyProtection="1">
      <alignment horizontal="center" vertical="center"/>
      <protection locked="0"/>
    </xf>
    <xf numFmtId="173" fontId="3" fillId="0" borderId="0" xfId="0" applyNumberFormat="1"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0" fillId="0" borderId="0" xfId="0" applyAlignment="1" applyProtection="1">
      <alignment vertical="center" shrinkToFit="1"/>
      <protection locked="0"/>
    </xf>
    <xf numFmtId="0" fontId="19"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0" fillId="0" borderId="0" xfId="0" applyAlignment="1" applyProtection="1">
      <alignment horizontal="left" vertical="center" shrinkToFit="1"/>
      <protection locked="0"/>
    </xf>
    <xf numFmtId="0" fontId="9" fillId="0" borderId="0" xfId="0" applyFont="1" applyBorder="1" applyAlignment="1" applyProtection="1">
      <alignment horizontal="center"/>
      <protection locked="0"/>
    </xf>
    <xf numFmtId="1" fontId="4" fillId="0" borderId="0" xfId="0" applyNumberFormat="1" applyFont="1" applyBorder="1" applyAlignment="1" applyProtection="1">
      <alignment horizontal="center"/>
      <protection locked="0"/>
    </xf>
    <xf numFmtId="1" fontId="4" fillId="0" borderId="0" xfId="0" applyNumberFormat="1" applyFont="1" applyFill="1" applyBorder="1" applyAlignment="1" applyProtection="1">
      <alignment horizontal="center"/>
      <protection locked="0"/>
    </xf>
    <xf numFmtId="2" fontId="9" fillId="0" borderId="0" xfId="0" applyNumberFormat="1" applyFont="1" applyBorder="1" applyAlignment="1" applyProtection="1">
      <alignment horizontal="center" vertical="center"/>
      <protection locked="0"/>
    </xf>
    <xf numFmtId="2" fontId="43" fillId="0" borderId="0" xfId="0" applyNumberFormat="1" applyFont="1" applyBorder="1" applyAlignment="1" applyProtection="1">
      <alignment horizontal="center" vertical="center"/>
      <protection locked="0"/>
    </xf>
    <xf numFmtId="2" fontId="34" fillId="0" borderId="0" xfId="0" applyNumberFormat="1" applyFont="1" applyBorder="1" applyAlignment="1" applyProtection="1">
      <alignment horizontal="center" vertical="center"/>
      <protection locked="0"/>
    </xf>
    <xf numFmtId="2" fontId="4" fillId="0" borderId="0" xfId="0" applyNumberFormat="1" applyFont="1" applyBorder="1" applyAlignment="1" applyProtection="1">
      <alignment horizontal="center" vertical="center"/>
      <protection locked="0"/>
    </xf>
    <xf numFmtId="2" fontId="2" fillId="0" borderId="0" xfId="0" applyNumberFormat="1" applyFont="1" applyBorder="1" applyAlignment="1" applyProtection="1">
      <alignment horizontal="center" vertical="center"/>
      <protection locked="0"/>
    </xf>
    <xf numFmtId="2" fontId="2" fillId="0" borderId="0" xfId="0" applyNumberFormat="1" applyFont="1" applyFill="1" applyBorder="1" applyAlignment="1" applyProtection="1">
      <alignment horizontal="center" vertical="center"/>
      <protection locked="0"/>
    </xf>
    <xf numFmtId="0" fontId="4" fillId="0" borderId="0" xfId="0" applyFont="1" applyBorder="1" applyAlignment="1" applyProtection="1">
      <alignment horizontal="center"/>
      <protection locked="0"/>
    </xf>
    <xf numFmtId="0" fontId="4" fillId="0" borderId="0" xfId="0" applyFont="1" applyFill="1" applyBorder="1" applyAlignment="1" applyProtection="1">
      <alignment horizontal="center"/>
      <protection locked="0"/>
    </xf>
    <xf numFmtId="173" fontId="4" fillId="0" borderId="0" xfId="0" applyNumberFormat="1" applyFont="1" applyFill="1" applyBorder="1" applyAlignment="1" applyProtection="1">
      <alignment horizontal="center"/>
      <protection locked="0"/>
    </xf>
    <xf numFmtId="173" fontId="4" fillId="0" borderId="0" xfId="0" applyNumberFormat="1" applyFont="1" applyBorder="1" applyAlignment="1" applyProtection="1">
      <alignment horizontal="center"/>
      <protection locked="0"/>
    </xf>
    <xf numFmtId="4" fontId="35" fillId="0" borderId="0" xfId="0" applyNumberFormat="1"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0" xfId="0" applyFont="1" applyAlignment="1" applyProtection="1">
      <alignment horizontal="center" vertical="center"/>
      <protection locked="0"/>
    </xf>
    <xf numFmtId="3" fontId="4" fillId="0" borderId="27" xfId="0" applyNumberFormat="1" applyFont="1" applyBorder="1" applyAlignment="1" applyProtection="1">
      <alignment horizontal="center" vertical="center" shrinkToFit="1"/>
      <protection hidden="1"/>
    </xf>
    <xf numFmtId="3" fontId="4" fillId="0" borderId="2" xfId="0" applyNumberFormat="1" applyFont="1" applyBorder="1" applyAlignment="1" applyProtection="1">
      <alignment horizontal="center" vertical="center" shrinkToFit="1"/>
      <protection hidden="1"/>
    </xf>
    <xf numFmtId="0" fontId="13" fillId="0" borderId="23" xfId="20" applyNumberFormat="1" applyFont="1" applyFill="1" applyBorder="1" applyAlignment="1" applyProtection="1">
      <alignment horizontal="center" vertical="center" shrinkToFit="1"/>
      <protection hidden="1"/>
    </xf>
    <xf numFmtId="0" fontId="13" fillId="0" borderId="2" xfId="20" applyNumberFormat="1" applyFont="1" applyFill="1" applyBorder="1" applyAlignment="1" applyProtection="1">
      <alignment horizontal="center" vertical="center" shrinkToFit="1"/>
      <protection hidden="1"/>
    </xf>
    <xf numFmtId="0" fontId="4" fillId="0" borderId="0" xfId="0" applyFont="1" applyBorder="1" applyAlignment="1" applyProtection="1">
      <alignment vertical="center" shrinkToFit="1"/>
      <protection hidden="1"/>
    </xf>
    <xf numFmtId="0" fontId="4" fillId="0" borderId="0" xfId="20" applyFont="1" applyBorder="1" applyAlignment="1" applyProtection="1">
      <alignment horizontal="center" vertical="center" shrinkToFit="1"/>
      <protection hidden="1"/>
    </xf>
    <xf numFmtId="2" fontId="4" fillId="0" borderId="0" xfId="0" applyNumberFormat="1" applyFont="1" applyBorder="1" applyAlignment="1" applyProtection="1">
      <alignment horizontal="center" vertical="center" shrinkToFit="1"/>
      <protection hidden="1"/>
    </xf>
    <xf numFmtId="0" fontId="4" fillId="0" borderId="38" xfId="20" applyFont="1" applyBorder="1" applyAlignment="1" applyProtection="1">
      <alignment horizontal="center" vertical="center" shrinkToFit="1"/>
      <protection hidden="1"/>
    </xf>
    <xf numFmtId="0" fontId="9" fillId="0" borderId="0" xfId="0" applyFont="1" applyBorder="1" applyAlignment="1" applyProtection="1">
      <alignment horizontal="center" vertical="center" shrinkToFit="1"/>
      <protection hidden="1"/>
    </xf>
    <xf numFmtId="0" fontId="14" fillId="0" borderId="34" xfId="0" applyFont="1" applyBorder="1" applyAlignment="1" applyProtection="1">
      <alignment vertical="center" shrinkToFit="1"/>
      <protection hidden="1"/>
    </xf>
    <xf numFmtId="0" fontId="2" fillId="0" borderId="72" xfId="0" applyFont="1" applyBorder="1" applyAlignment="1" applyProtection="1">
      <alignment horizontal="center" vertical="center"/>
      <protection hidden="1"/>
    </xf>
    <xf numFmtId="0" fontId="2" fillId="0" borderId="72" xfId="0" applyFont="1" applyBorder="1" applyAlignment="1" applyProtection="1">
      <alignment horizontal="center" vertical="center" shrinkToFit="1"/>
      <protection hidden="1"/>
    </xf>
    <xf numFmtId="0" fontId="2" fillId="0" borderId="14" xfId="0" applyFont="1" applyBorder="1" applyAlignment="1" applyProtection="1">
      <alignment horizontal="center" vertical="center" shrinkToFit="1"/>
      <protection hidden="1"/>
    </xf>
    <xf numFmtId="0" fontId="13" fillId="0" borderId="11" xfId="20" applyFont="1" applyBorder="1" applyAlignment="1" applyProtection="1">
      <alignment horizontal="center" vertical="center"/>
      <protection hidden="1"/>
    </xf>
    <xf numFmtId="0" fontId="13" fillId="0" borderId="12" xfId="20" applyFont="1" applyBorder="1" applyAlignment="1" applyProtection="1">
      <alignment horizontal="center" vertical="center"/>
      <protection hidden="1"/>
    </xf>
    <xf numFmtId="0" fontId="4" fillId="0" borderId="50" xfId="20" applyNumberFormat="1" applyFont="1" applyFill="1" applyBorder="1" applyAlignment="1" applyProtection="1">
      <alignment horizontal="right" shrinkToFit="1"/>
      <protection hidden="1"/>
    </xf>
    <xf numFmtId="0" fontId="4" fillId="0" borderId="49" xfId="20" applyFont="1" applyBorder="1" applyAlignment="1" applyProtection="1">
      <alignment horizontal="left"/>
      <protection hidden="1"/>
    </xf>
    <xf numFmtId="0" fontId="4" fillId="0" borderId="43" xfId="20" applyNumberFormat="1" applyFont="1" applyFill="1" applyBorder="1" applyAlignment="1" applyProtection="1">
      <alignment horizontal="right" vertical="center" shrinkToFit="1"/>
      <protection hidden="1"/>
    </xf>
    <xf numFmtId="0" fontId="4" fillId="0" borderId="37" xfId="20" applyFont="1" applyBorder="1" applyAlignment="1" applyProtection="1">
      <alignment horizontal="left"/>
      <protection hidden="1"/>
    </xf>
    <xf numFmtId="0" fontId="4" fillId="0" borderId="0" xfId="0" applyFont="1" applyBorder="1" applyAlignment="1" applyProtection="1">
      <alignment vertical="center"/>
      <protection hidden="1"/>
    </xf>
    <xf numFmtId="0" fontId="4" fillId="0" borderId="8" xfId="0" applyFont="1" applyBorder="1" applyAlignment="1" applyProtection="1">
      <alignment vertical="center"/>
      <protection hidden="1"/>
    </xf>
    <xf numFmtId="0" fontId="4" fillId="0" borderId="2" xfId="0" applyFont="1" applyBorder="1" applyAlignment="1" applyProtection="1">
      <alignment vertical="center"/>
      <protection hidden="1"/>
    </xf>
    <xf numFmtId="0" fontId="4" fillId="0" borderId="20" xfId="0" applyFont="1" applyBorder="1" applyAlignment="1" applyProtection="1">
      <alignment vertical="center"/>
      <protection hidden="1"/>
    </xf>
    <xf numFmtId="173" fontId="4" fillId="0" borderId="9" xfId="0" applyNumberFormat="1" applyFont="1" applyBorder="1" applyAlignment="1" applyProtection="1">
      <alignment horizontal="center" vertical="center" shrinkToFit="1"/>
      <protection hidden="1"/>
    </xf>
    <xf numFmtId="173" fontId="4" fillId="0" borderId="37" xfId="20" applyNumberFormat="1" applyFont="1" applyFill="1" applyBorder="1" applyAlignment="1" applyProtection="1">
      <alignment horizontal="left" vertical="center" shrinkToFit="1"/>
      <protection hidden="1"/>
    </xf>
    <xf numFmtId="173" fontId="4" fillId="0" borderId="8" xfId="0" applyNumberFormat="1" applyFont="1" applyBorder="1" applyAlignment="1" applyProtection="1">
      <alignment horizontal="center" vertical="center" shrinkToFit="1"/>
      <protection hidden="1"/>
    </xf>
    <xf numFmtId="2" fontId="4" fillId="0" borderId="43" xfId="20" applyNumberFormat="1" applyFont="1" applyFill="1" applyBorder="1" applyAlignment="1" applyProtection="1">
      <alignment horizontal="right" vertical="center" shrinkToFit="1"/>
      <protection hidden="1"/>
    </xf>
    <xf numFmtId="0" fontId="13" fillId="0" borderId="0" xfId="0" applyFont="1" applyBorder="1" applyAlignment="1" applyProtection="1">
      <alignment horizontal="center" vertical="center" shrinkToFit="1"/>
      <protection hidden="1"/>
    </xf>
    <xf numFmtId="0" fontId="4" fillId="0" borderId="9" xfId="20" applyFont="1" applyBorder="1" applyAlignment="1" applyProtection="1">
      <alignment vertical="center"/>
      <protection hidden="1"/>
    </xf>
    <xf numFmtId="0" fontId="4" fillId="0" borderId="33" xfId="0" applyFont="1" applyBorder="1" applyAlignment="1" applyProtection="1">
      <alignment horizontal="center" vertical="center" shrinkToFit="1"/>
      <protection hidden="1"/>
    </xf>
    <xf numFmtId="0" fontId="13" fillId="0" borderId="34" xfId="20" applyFont="1" applyBorder="1" applyAlignment="1" applyProtection="1">
      <alignment horizontal="center" vertical="center"/>
      <protection hidden="1"/>
    </xf>
    <xf numFmtId="173" fontId="4" fillId="0" borderId="48" xfId="20" applyNumberFormat="1" applyFont="1" applyBorder="1" applyAlignment="1" applyProtection="1">
      <alignment horizontal="right" vertical="center" shrinkToFit="1"/>
      <protection hidden="1"/>
    </xf>
    <xf numFmtId="173" fontId="4" fillId="0" borderId="73" xfId="0" applyNumberFormat="1" applyFont="1" applyBorder="1" applyAlignment="1" applyProtection="1">
      <alignment horizontal="left" vertical="center" shrinkToFit="1"/>
      <protection hidden="1"/>
    </xf>
    <xf numFmtId="173" fontId="4" fillId="0" borderId="74" xfId="20" applyNumberFormat="1" applyFont="1" applyBorder="1" applyAlignment="1" applyProtection="1">
      <alignment horizontal="right" vertical="center" shrinkToFit="1"/>
      <protection hidden="1"/>
    </xf>
    <xf numFmtId="173" fontId="4" fillId="0" borderId="75" xfId="0" applyNumberFormat="1" applyFont="1" applyBorder="1" applyAlignment="1" applyProtection="1">
      <alignment horizontal="left" vertical="center" shrinkToFit="1"/>
      <protection hidden="1"/>
    </xf>
    <xf numFmtId="0" fontId="14" fillId="0" borderId="0" xfId="20" applyFont="1" applyBorder="1" applyAlignment="1" applyProtection="1">
      <alignment horizontal="left" vertical="center" shrinkToFit="1"/>
      <protection hidden="1"/>
    </xf>
    <xf numFmtId="0" fontId="4" fillId="0" borderId="0" xfId="20" applyFont="1" applyBorder="1" applyAlignment="1" applyProtection="1">
      <alignment horizontal="left" vertical="center" shrinkToFit="1"/>
      <protection hidden="1"/>
    </xf>
    <xf numFmtId="0" fontId="4" fillId="0" borderId="0" xfId="0" applyFont="1" applyBorder="1" applyAlignment="1" applyProtection="1">
      <alignment/>
      <protection hidden="1"/>
    </xf>
    <xf numFmtId="0" fontId="4" fillId="0" borderId="8" xfId="0" applyFont="1" applyBorder="1" applyAlignment="1" applyProtection="1">
      <alignment/>
      <protection hidden="1"/>
    </xf>
    <xf numFmtId="0" fontId="4" fillId="0" borderId="73" xfId="0" applyFont="1" applyBorder="1" applyAlignment="1" applyProtection="1">
      <alignment horizontal="left" vertical="center" shrinkToFit="1"/>
      <protection hidden="1"/>
    </xf>
    <xf numFmtId="0" fontId="4" fillId="0" borderId="0" xfId="20" applyFont="1" applyBorder="1" applyAlignment="1" applyProtection="1">
      <alignment/>
      <protection hidden="1"/>
    </xf>
    <xf numFmtId="180" fontId="4" fillId="0" borderId="34" xfId="20" applyNumberFormat="1" applyFont="1" applyBorder="1" applyAlignment="1" applyProtection="1">
      <alignment vertical="center" shrinkToFit="1"/>
      <protection hidden="1"/>
    </xf>
    <xf numFmtId="180" fontId="4" fillId="0" borderId="13" xfId="0" applyNumberFormat="1" applyFont="1" applyBorder="1" applyAlignment="1" applyProtection="1">
      <alignment horizontal="left" vertical="center" shrinkToFit="1"/>
      <protection hidden="1"/>
    </xf>
    <xf numFmtId="0" fontId="4" fillId="0" borderId="8" xfId="20" applyFont="1" applyBorder="1" applyAlignment="1" applyProtection="1">
      <alignment/>
      <protection hidden="1"/>
    </xf>
    <xf numFmtId="0" fontId="2" fillId="0" borderId="76" xfId="0" applyFont="1" applyBorder="1" applyAlignment="1" applyProtection="1">
      <alignment horizontal="left" vertical="center"/>
      <protection hidden="1"/>
    </xf>
    <xf numFmtId="0" fontId="13" fillId="0" borderId="42" xfId="20" applyFont="1" applyBorder="1" applyAlignment="1" applyProtection="1">
      <alignment horizontal="center" vertical="center"/>
      <protection hidden="1"/>
    </xf>
    <xf numFmtId="0" fontId="9" fillId="0" borderId="0" xfId="0" applyFont="1" applyBorder="1" applyAlignment="1" applyProtection="1">
      <alignment horizontal="right" vertical="center" shrinkToFit="1"/>
      <protection hidden="1"/>
    </xf>
    <xf numFmtId="0" fontId="9" fillId="0" borderId="0" xfId="0" applyFont="1" applyBorder="1" applyAlignment="1" applyProtection="1">
      <alignment horizontal="left" vertical="center" shrinkToFit="1"/>
      <protection hidden="1"/>
    </xf>
    <xf numFmtId="0" fontId="9" fillId="0" borderId="43" xfId="20" applyFont="1" applyBorder="1" applyAlignment="1" applyProtection="1">
      <alignment horizontal="right" vertical="center" shrinkToFit="1"/>
      <protection hidden="1"/>
    </xf>
    <xf numFmtId="0" fontId="9" fillId="0" borderId="49" xfId="20" applyFont="1" applyBorder="1" applyAlignment="1" applyProtection="1">
      <alignment horizontal="left" vertical="center" shrinkToFit="1"/>
      <protection hidden="1"/>
    </xf>
    <xf numFmtId="0" fontId="9" fillId="0" borderId="37" xfId="0" applyFont="1" applyBorder="1" applyAlignment="1" applyProtection="1">
      <alignment horizontal="left" vertical="center" shrinkToFit="1"/>
      <protection hidden="1"/>
    </xf>
    <xf numFmtId="0" fontId="9" fillId="0" borderId="43" xfId="20" applyFont="1" applyBorder="1" applyAlignment="1" applyProtection="1">
      <alignment horizontal="center" vertical="center" shrinkToFit="1"/>
      <protection hidden="1"/>
    </xf>
    <xf numFmtId="0" fontId="9" fillId="0" borderId="37" xfId="20" applyFont="1" applyBorder="1" applyAlignment="1" applyProtection="1">
      <alignment horizontal="center" vertical="center" shrinkToFit="1"/>
      <protection hidden="1"/>
    </xf>
    <xf numFmtId="0" fontId="13" fillId="0" borderId="38" xfId="0" applyFont="1" applyBorder="1" applyAlignment="1" applyProtection="1">
      <alignment horizontal="center" vertical="center" shrinkToFit="1"/>
      <protection hidden="1"/>
    </xf>
    <xf numFmtId="0" fontId="13" fillId="0" borderId="59" xfId="0" applyFont="1" applyBorder="1" applyAlignment="1" applyProtection="1">
      <alignment horizontal="center" vertical="center" shrinkToFit="1"/>
      <protection hidden="1"/>
    </xf>
    <xf numFmtId="0" fontId="13" fillId="0" borderId="8" xfId="0" applyFont="1" applyBorder="1" applyAlignment="1" applyProtection="1">
      <alignment horizontal="center" vertical="center" shrinkToFit="1"/>
      <protection hidden="1"/>
    </xf>
    <xf numFmtId="0" fontId="13" fillId="0" borderId="60" xfId="0" applyFont="1" applyBorder="1" applyAlignment="1" applyProtection="1">
      <alignment horizontal="center" vertical="center" shrinkToFit="1"/>
      <protection hidden="1"/>
    </xf>
    <xf numFmtId="0" fontId="13" fillId="0" borderId="43" xfId="0" applyFont="1" applyBorder="1" applyAlignment="1" applyProtection="1">
      <alignment horizontal="center" vertical="center" shrinkToFit="1"/>
      <protection hidden="1"/>
    </xf>
    <xf numFmtId="0" fontId="13" fillId="0" borderId="37" xfId="0" applyFont="1" applyBorder="1" applyAlignment="1" applyProtection="1">
      <alignment horizontal="center" vertical="center" shrinkToFit="1"/>
      <protection hidden="1"/>
    </xf>
    <xf numFmtId="0" fontId="42" fillId="0" borderId="38" xfId="20" applyFont="1" applyBorder="1" applyAlignment="1" applyProtection="1">
      <alignment horizontal="center" vertical="center"/>
      <protection hidden="1"/>
    </xf>
    <xf numFmtId="0" fontId="13" fillId="0" borderId="10" xfId="20" applyFont="1" applyBorder="1" applyAlignment="1" applyProtection="1">
      <alignment horizontal="center" vertical="center" shrinkToFit="1"/>
      <protection hidden="1"/>
    </xf>
    <xf numFmtId="0" fontId="14" fillId="0" borderId="48" xfId="20" applyFont="1" applyBorder="1" applyAlignment="1" applyProtection="1">
      <alignment vertical="center" shrinkToFit="1"/>
      <protection hidden="1"/>
    </xf>
    <xf numFmtId="0" fontId="14" fillId="0" borderId="34" xfId="20" applyFont="1" applyBorder="1" applyAlignment="1" applyProtection="1">
      <alignment vertical="center" shrinkToFit="1"/>
      <protection hidden="1"/>
    </xf>
    <xf numFmtId="3" fontId="4" fillId="0" borderId="72" xfId="20" applyNumberFormat="1" applyFont="1" applyFill="1" applyBorder="1" applyAlignment="1" applyProtection="1">
      <alignment horizontal="center" vertical="center" shrinkToFit="1"/>
      <protection hidden="1"/>
    </xf>
    <xf numFmtId="0" fontId="43" fillId="0" borderId="38" xfId="0" applyFont="1" applyBorder="1" applyAlignment="1" applyProtection="1">
      <alignment horizontal="center" vertical="center"/>
      <protection hidden="1"/>
    </xf>
    <xf numFmtId="0" fontId="13" fillId="0" borderId="42" xfId="0" applyFont="1" applyBorder="1" applyAlignment="1" applyProtection="1">
      <alignment horizontal="center" vertical="center" shrinkToFit="1"/>
      <protection hidden="1"/>
    </xf>
    <xf numFmtId="0" fontId="4" fillId="0" borderId="2" xfId="20" applyNumberFormat="1" applyFont="1" applyFill="1" applyBorder="1" applyAlignment="1" applyProtection="1">
      <alignment horizontal="center" vertical="center" shrinkToFit="1"/>
      <protection hidden="1"/>
    </xf>
    <xf numFmtId="0" fontId="4" fillId="0" borderId="2" xfId="20" applyFont="1" applyBorder="1" applyAlignment="1" applyProtection="1">
      <alignment vertical="center"/>
      <protection hidden="1"/>
    </xf>
    <xf numFmtId="0" fontId="18" fillId="0" borderId="23" xfId="20" applyNumberFormat="1" applyFont="1" applyFill="1" applyBorder="1" applyAlignment="1" applyProtection="1">
      <alignment horizontal="center" vertical="center" shrinkToFit="1"/>
      <protection hidden="1"/>
    </xf>
    <xf numFmtId="0" fontId="4" fillId="0" borderId="23" xfId="20" applyNumberFormat="1" applyFont="1" applyFill="1" applyBorder="1" applyAlignment="1" applyProtection="1">
      <alignment horizontal="center" vertical="center" shrinkToFit="1"/>
      <protection hidden="1"/>
    </xf>
    <xf numFmtId="0" fontId="5" fillId="0" borderId="2" xfId="20" applyNumberFormat="1" applyFont="1" applyFill="1" applyBorder="1" applyAlignment="1" applyProtection="1">
      <alignment horizontal="center" vertical="center" shrinkToFit="1"/>
      <protection hidden="1"/>
    </xf>
    <xf numFmtId="0" fontId="4" fillId="0" borderId="20" xfId="20" applyFont="1" applyBorder="1" applyAlignment="1" applyProtection="1">
      <alignment/>
      <protection hidden="1"/>
    </xf>
    <xf numFmtId="0" fontId="61" fillId="0" borderId="2" xfId="0" applyFont="1" applyBorder="1" applyAlignment="1" applyProtection="1">
      <alignment horizontal="center" vertical="center" shrinkToFit="1"/>
      <protection hidden="1"/>
    </xf>
    <xf numFmtId="0" fontId="61" fillId="0" borderId="27" xfId="0" applyFont="1" applyBorder="1" applyAlignment="1" applyProtection="1">
      <alignment horizontal="center" vertical="center" shrinkToFit="1"/>
      <protection hidden="1"/>
    </xf>
    <xf numFmtId="0" fontId="56" fillId="0" borderId="27" xfId="20" applyFont="1" applyBorder="1" applyAlignment="1" applyProtection="1">
      <alignment horizontal="center" vertical="center"/>
      <protection hidden="1"/>
    </xf>
    <xf numFmtId="0" fontId="61" fillId="0" borderId="77" xfId="0" applyFont="1" applyBorder="1" applyAlignment="1" applyProtection="1">
      <alignment horizontal="center" vertical="center" shrinkToFit="1"/>
      <protection hidden="1"/>
    </xf>
    <xf numFmtId="0" fontId="10" fillId="0" borderId="2" xfId="20" applyNumberFormat="1" applyFont="1" applyFill="1" applyBorder="1" applyAlignment="1" applyProtection="1">
      <alignment horizontal="center" vertical="center" shrinkToFit="1"/>
      <protection hidden="1"/>
    </xf>
    <xf numFmtId="0" fontId="4" fillId="0" borderId="2" xfId="20" applyNumberFormat="1" applyFont="1" applyFill="1" applyBorder="1" applyAlignment="1" applyProtection="1">
      <alignment horizontal="center" vertical="center" textRotation="90" shrinkToFit="1"/>
      <protection hidden="1"/>
    </xf>
    <xf numFmtId="0" fontId="5" fillId="0" borderId="19" xfId="20" applyNumberFormat="1" applyFont="1" applyFill="1" applyBorder="1" applyAlignment="1" applyProtection="1">
      <alignment horizontal="center" vertical="center" shrinkToFit="1"/>
      <protection hidden="1"/>
    </xf>
    <xf numFmtId="0" fontId="4" fillId="0" borderId="19" xfId="20" applyNumberFormat="1" applyFont="1" applyFill="1" applyBorder="1" applyAlignment="1" applyProtection="1">
      <alignment horizontal="center" vertical="center" shrinkToFit="1"/>
      <protection hidden="1"/>
    </xf>
    <xf numFmtId="0" fontId="4" fillId="0" borderId="20" xfId="20" applyNumberFormat="1" applyFont="1" applyFill="1" applyBorder="1" applyAlignment="1" applyProtection="1">
      <alignment horizontal="center" vertical="center" shrinkToFit="1"/>
      <protection hidden="1"/>
    </xf>
    <xf numFmtId="0" fontId="4" fillId="0" borderId="27" xfId="20" applyFont="1" applyBorder="1" applyAlignment="1" applyProtection="1">
      <alignment vertical="center"/>
      <protection hidden="1"/>
    </xf>
    <xf numFmtId="0" fontId="10" fillId="0" borderId="27" xfId="20" applyFont="1" applyBorder="1" applyAlignment="1" applyProtection="1">
      <alignment horizontal="center" vertical="center"/>
      <protection hidden="1"/>
    </xf>
    <xf numFmtId="3" fontId="4" fillId="0" borderId="2" xfId="20" applyNumberFormat="1" applyFont="1" applyBorder="1" applyAlignment="1" applyProtection="1">
      <alignment horizontal="center" vertical="center" shrinkToFit="1"/>
      <protection hidden="1"/>
    </xf>
    <xf numFmtId="0" fontId="4" fillId="0" borderId="20" xfId="20" applyFont="1" applyBorder="1" applyAlignment="1" applyProtection="1">
      <alignment vertical="center"/>
      <protection hidden="1"/>
    </xf>
    <xf numFmtId="0" fontId="18" fillId="0" borderId="2" xfId="0" applyFont="1" applyBorder="1" applyAlignment="1" applyProtection="1">
      <alignment horizontal="center" vertical="center" shrinkToFit="1"/>
      <protection hidden="1"/>
    </xf>
    <xf numFmtId="0" fontId="4" fillId="0" borderId="23" xfId="20" applyFont="1" applyBorder="1" applyAlignment="1" applyProtection="1">
      <alignment vertical="center"/>
      <protection hidden="1"/>
    </xf>
    <xf numFmtId="0" fontId="10" fillId="0" borderId="23" xfId="20" applyFont="1" applyBorder="1" applyAlignment="1" applyProtection="1">
      <alignment horizontal="center" vertical="center"/>
      <protection hidden="1"/>
    </xf>
    <xf numFmtId="0" fontId="4" fillId="0" borderId="78" xfId="20" applyFont="1" applyBorder="1" applyAlignment="1" applyProtection="1">
      <alignment vertical="center"/>
      <protection hidden="1"/>
    </xf>
    <xf numFmtId="174" fontId="10" fillId="0" borderId="19" xfId="20" applyNumberFormat="1" applyFont="1" applyBorder="1" applyAlignment="1" applyProtection="1">
      <alignment horizontal="center" vertical="center"/>
      <protection hidden="1"/>
    </xf>
    <xf numFmtId="0" fontId="10" fillId="0" borderId="20" xfId="20" applyFont="1" applyBorder="1" applyAlignment="1" applyProtection="1">
      <alignment horizontal="center" vertical="center"/>
      <protection hidden="1"/>
    </xf>
    <xf numFmtId="180" fontId="10" fillId="0" borderId="2" xfId="20" applyNumberFormat="1" applyFont="1" applyBorder="1" applyAlignment="1" applyProtection="1">
      <alignment horizontal="center" vertical="center"/>
      <protection hidden="1"/>
    </xf>
    <xf numFmtId="0" fontId="9" fillId="0" borderId="19" xfId="20" applyNumberFormat="1" applyFont="1" applyFill="1" applyBorder="1" applyAlignment="1" applyProtection="1">
      <alignment horizontal="center" vertical="center" shrinkToFit="1"/>
      <protection hidden="1"/>
    </xf>
    <xf numFmtId="0" fontId="35" fillId="0" borderId="19" xfId="20" applyNumberFormat="1" applyFont="1" applyFill="1" applyBorder="1" applyAlignment="1" applyProtection="1">
      <alignment horizontal="center" vertical="center" shrinkToFit="1"/>
      <protection hidden="1"/>
    </xf>
    <xf numFmtId="0" fontId="18" fillId="0" borderId="2" xfId="20" applyNumberFormat="1" applyFont="1" applyFill="1" applyBorder="1" applyAlignment="1" applyProtection="1">
      <alignment horizontal="center" vertical="center" shrinkToFit="1"/>
      <protection hidden="1"/>
    </xf>
    <xf numFmtId="180" fontId="18" fillId="0" borderId="2" xfId="20" applyNumberFormat="1" applyFont="1" applyFill="1" applyBorder="1" applyAlignment="1" applyProtection="1">
      <alignment horizontal="center" vertical="center" shrinkToFit="1"/>
      <protection hidden="1"/>
    </xf>
    <xf numFmtId="0" fontId="14" fillId="0" borderId="2" xfId="0" applyFont="1" applyBorder="1" applyAlignment="1" applyProtection="1">
      <alignment horizontal="center" vertical="center" shrinkToFit="1"/>
      <protection hidden="1"/>
    </xf>
    <xf numFmtId="3" fontId="4" fillId="0" borderId="2" xfId="0" applyNumberFormat="1" applyFont="1" applyBorder="1" applyAlignment="1" applyProtection="1">
      <alignment horizontal="center" vertical="center" shrinkToFit="1"/>
      <protection hidden="1"/>
    </xf>
    <xf numFmtId="0" fontId="4" fillId="0" borderId="20" xfId="0" applyFont="1" applyBorder="1" applyAlignment="1" applyProtection="1">
      <alignment horizontal="center" vertical="center" shrinkToFit="1"/>
      <protection hidden="1"/>
    </xf>
    <xf numFmtId="0" fontId="14" fillId="0" borderId="23" xfId="0" applyFont="1" applyBorder="1" applyAlignment="1" applyProtection="1">
      <alignment horizontal="center" vertical="center" shrinkToFit="1"/>
      <protection hidden="1"/>
    </xf>
    <xf numFmtId="0" fontId="14" fillId="0" borderId="19" xfId="0" applyFont="1" applyBorder="1" applyAlignment="1" applyProtection="1">
      <alignment horizontal="center" vertical="center" shrinkToFit="1"/>
      <protection hidden="1"/>
    </xf>
    <xf numFmtId="0" fontId="56" fillId="0" borderId="2" xfId="20" applyNumberFormat="1" applyFont="1" applyFill="1" applyBorder="1" applyAlignment="1" applyProtection="1">
      <alignment horizontal="center" vertical="center" shrinkToFit="1"/>
      <protection hidden="1"/>
    </xf>
    <xf numFmtId="0" fontId="9" fillId="0" borderId="2" xfId="20" applyNumberFormat="1" applyFont="1" applyFill="1" applyBorder="1" applyAlignment="1" applyProtection="1">
      <alignment horizontal="center" vertical="center" shrinkToFit="1"/>
      <protection hidden="1"/>
    </xf>
    <xf numFmtId="0" fontId="4" fillId="0" borderId="79" xfId="20" applyNumberFormat="1" applyFont="1" applyFill="1" applyBorder="1" applyAlignment="1" applyProtection="1">
      <alignment horizontal="center" vertical="center" shrinkToFit="1"/>
      <protection hidden="1"/>
    </xf>
    <xf numFmtId="0" fontId="4" fillId="0" borderId="43" xfId="20" applyFont="1" applyBorder="1" applyAlignment="1" applyProtection="1">
      <alignment horizontal="center" vertical="center" shrinkToFit="1"/>
      <protection hidden="1"/>
    </xf>
    <xf numFmtId="0" fontId="9" fillId="0" borderId="14" xfId="0" applyFont="1" applyBorder="1" applyAlignment="1" applyProtection="1">
      <alignment horizontal="center" vertical="center" shrinkToFit="1"/>
      <protection hidden="1"/>
    </xf>
    <xf numFmtId="0" fontId="22" fillId="0" borderId="2" xfId="0" applyFont="1" applyBorder="1" applyAlignment="1" applyProtection="1">
      <alignment horizontal="center" vertical="center" shrinkToFit="1"/>
      <protection hidden="1"/>
    </xf>
    <xf numFmtId="0" fontId="22" fillId="0" borderId="80" xfId="20" applyFont="1" applyBorder="1" applyAlignment="1" applyProtection="1">
      <alignment horizontal="center" vertical="center"/>
      <protection hidden="1"/>
    </xf>
    <xf numFmtId="0" fontId="22" fillId="0" borderId="23" xfId="20" applyFont="1" applyBorder="1" applyAlignment="1" applyProtection="1">
      <alignment horizontal="center" vertical="center"/>
      <protection hidden="1"/>
    </xf>
    <xf numFmtId="0" fontId="4" fillId="3" borderId="11" xfId="20" applyNumberFormat="1" applyFont="1" applyFill="1" applyBorder="1" applyAlignment="1" applyProtection="1">
      <alignment horizontal="center" vertical="center" shrinkToFit="1"/>
      <protection locked="0"/>
    </xf>
    <xf numFmtId="3" fontId="4" fillId="3" borderId="11" xfId="20" applyNumberFormat="1" applyFont="1" applyFill="1" applyBorder="1" applyAlignment="1" applyProtection="1">
      <alignment horizontal="center" vertical="center" shrinkToFit="1"/>
      <protection locked="0"/>
    </xf>
    <xf numFmtId="0" fontId="4" fillId="0" borderId="12" xfId="20" applyFont="1" applyBorder="1" applyAlignment="1" applyProtection="1">
      <alignment horizontal="center" vertical="center" shrinkToFit="1"/>
      <protection hidden="1"/>
    </xf>
    <xf numFmtId="0" fontId="4" fillId="0" borderId="10" xfId="20" applyFont="1" applyBorder="1" applyAlignment="1" applyProtection="1">
      <alignment horizontal="center" vertical="center"/>
      <protection hidden="1"/>
    </xf>
    <xf numFmtId="0" fontId="4" fillId="0" borderId="11" xfId="20" applyBorder="1" applyAlignment="1" applyProtection="1">
      <alignment horizontal="center" vertical="center"/>
      <protection hidden="1"/>
    </xf>
    <xf numFmtId="0" fontId="4" fillId="0" borderId="73" xfId="0" applyFont="1" applyBorder="1" applyAlignment="1" applyProtection="1">
      <alignment horizontal="center" vertical="center" shrinkToFit="1"/>
      <protection hidden="1"/>
    </xf>
    <xf numFmtId="0" fontId="50" fillId="0" borderId="0" xfId="20" applyFont="1" applyBorder="1" applyAlignment="1" applyProtection="1">
      <alignment horizontal="right" vertical="top" shrinkToFit="1"/>
      <protection hidden="1"/>
    </xf>
    <xf numFmtId="0" fontId="50" fillId="0" borderId="0" xfId="0" applyFont="1" applyBorder="1" applyAlignment="1" applyProtection="1">
      <alignment horizontal="right" vertical="top" shrinkToFit="1"/>
      <protection hidden="1"/>
    </xf>
    <xf numFmtId="0" fontId="49" fillId="0" borderId="0" xfId="0" applyFont="1" applyBorder="1" applyAlignment="1" applyProtection="1">
      <alignment shrinkToFit="1"/>
      <protection hidden="1"/>
    </xf>
    <xf numFmtId="0" fontId="13" fillId="0" borderId="48" xfId="20" applyFont="1" applyBorder="1" applyAlignment="1" applyProtection="1">
      <alignment horizontal="center" vertical="center" shrinkToFit="1"/>
      <protection hidden="1"/>
    </xf>
    <xf numFmtId="0" fontId="4" fillId="0" borderId="47" xfId="0" applyFont="1" applyBorder="1" applyAlignment="1" applyProtection="1">
      <alignment vertical="center" shrinkToFit="1"/>
      <protection hidden="1"/>
    </xf>
    <xf numFmtId="0" fontId="9" fillId="0" borderId="22" xfId="0" applyFont="1" applyBorder="1" applyAlignment="1" applyProtection="1">
      <alignment horizontal="right" vertical="center" shrinkToFit="1"/>
      <protection hidden="1"/>
    </xf>
    <xf numFmtId="0" fontId="4" fillId="0" borderId="54" xfId="20" applyFont="1" applyBorder="1" applyAlignment="1" applyProtection="1">
      <alignment horizontal="center" vertical="center" shrinkToFit="1"/>
      <protection hidden="1"/>
    </xf>
    <xf numFmtId="0" fontId="4" fillId="0" borderId="65" xfId="0" applyFont="1" applyBorder="1" applyAlignment="1" applyProtection="1">
      <alignment horizontal="center" vertical="center" shrinkToFit="1"/>
      <protection hidden="1"/>
    </xf>
    <xf numFmtId="0" fontId="4" fillId="0" borderId="46" xfId="0" applyFont="1" applyBorder="1" applyAlignment="1" applyProtection="1">
      <alignment vertical="center" shrinkToFit="1"/>
      <protection hidden="1"/>
    </xf>
    <xf numFmtId="0" fontId="4" fillId="0" borderId="81" xfId="0" applyFont="1" applyBorder="1" applyAlignment="1" applyProtection="1">
      <alignment horizontal="center" vertical="center" shrinkToFit="1"/>
      <protection hidden="1"/>
    </xf>
    <xf numFmtId="0" fontId="4" fillId="0" borderId="82" xfId="0" applyFont="1" applyBorder="1" applyAlignment="1" applyProtection="1">
      <alignment horizontal="center" vertical="center" shrinkToFit="1"/>
      <protection hidden="1"/>
    </xf>
    <xf numFmtId="174" fontId="4" fillId="0" borderId="48" xfId="20" applyNumberFormat="1" applyFont="1" applyFill="1" applyBorder="1" applyAlignment="1" applyProtection="1">
      <alignment horizontal="center" vertical="center" shrinkToFit="1"/>
      <protection hidden="1"/>
    </xf>
    <xf numFmtId="0" fontId="4" fillId="0" borderId="9" xfId="0" applyFont="1" applyFill="1" applyBorder="1" applyAlignment="1" applyProtection="1">
      <alignment horizontal="center" vertical="center" shrinkToFit="1"/>
      <protection hidden="1"/>
    </xf>
    <xf numFmtId="0" fontId="4" fillId="0" borderId="73" xfId="0" applyFont="1" applyFill="1" applyBorder="1" applyAlignment="1" applyProtection="1">
      <alignment horizontal="center" vertical="center" shrinkToFit="1"/>
      <protection hidden="1"/>
    </xf>
    <xf numFmtId="180" fontId="4" fillId="0" borderId="0" xfId="0" applyNumberFormat="1" applyFont="1" applyBorder="1" applyAlignment="1" applyProtection="1">
      <alignment horizontal="center" vertical="center" shrinkToFit="1"/>
      <protection hidden="1"/>
    </xf>
    <xf numFmtId="0" fontId="4" fillId="0" borderId="34" xfId="20" applyFont="1" applyBorder="1" applyAlignment="1" applyProtection="1">
      <alignment horizontal="center" vertical="center" shrinkToFit="1"/>
      <protection hidden="1"/>
    </xf>
    <xf numFmtId="0" fontId="4" fillId="0" borderId="13" xfId="0" applyFont="1" applyBorder="1" applyAlignment="1" applyProtection="1">
      <alignment horizontal="center" vertical="center" shrinkToFit="1"/>
      <protection hidden="1"/>
    </xf>
    <xf numFmtId="192" fontId="4" fillId="0" borderId="83" xfId="20" applyNumberFormat="1" applyFont="1" applyBorder="1" applyAlignment="1" applyProtection="1">
      <alignment horizontal="center" vertical="center" shrinkToFit="1"/>
      <protection hidden="1"/>
    </xf>
    <xf numFmtId="0" fontId="13" fillId="0" borderId="34" xfId="20" applyFont="1" applyBorder="1" applyAlignment="1" applyProtection="1">
      <alignment horizontal="center" vertical="center" shrinkToFit="1"/>
      <protection hidden="1"/>
    </xf>
    <xf numFmtId="0" fontId="4" fillId="0" borderId="74" xfId="20" applyFont="1" applyBorder="1" applyAlignment="1" applyProtection="1">
      <alignment horizontal="center" vertical="center" shrinkToFit="1"/>
      <protection hidden="1"/>
    </xf>
    <xf numFmtId="0" fontId="4" fillId="0" borderId="75" xfId="20" applyFont="1" applyBorder="1" applyAlignment="1" applyProtection="1">
      <alignment horizontal="center" vertical="center" shrinkToFit="1"/>
      <protection hidden="1"/>
    </xf>
    <xf numFmtId="0" fontId="4" fillId="0" borderId="73" xfId="0" applyFont="1" applyBorder="1" applyAlignment="1" applyProtection="1">
      <alignment vertical="center" shrinkToFit="1"/>
      <protection hidden="1"/>
    </xf>
    <xf numFmtId="180" fontId="4" fillId="0" borderId="9" xfId="0" applyNumberFormat="1" applyFont="1" applyBorder="1" applyAlignment="1" applyProtection="1">
      <alignment horizontal="center" vertical="center" shrinkToFit="1"/>
      <protection hidden="1"/>
    </xf>
    <xf numFmtId="0" fontId="4" fillId="0" borderId="0" xfId="0" applyFont="1" applyBorder="1" applyAlignment="1" applyProtection="1">
      <alignment vertical="center" shrinkToFit="1"/>
      <protection hidden="1"/>
    </xf>
    <xf numFmtId="173" fontId="4" fillId="3" borderId="34" xfId="20" applyNumberFormat="1" applyFont="1" applyFill="1" applyBorder="1" applyAlignment="1" applyProtection="1">
      <alignment horizontal="center" vertical="center" shrinkToFit="1"/>
      <protection locked="0"/>
    </xf>
    <xf numFmtId="173" fontId="4" fillId="0" borderId="13" xfId="0" applyNumberFormat="1" applyFont="1" applyBorder="1" applyAlignment="1" applyProtection="1">
      <alignment horizontal="center" vertical="center" shrinkToFit="1"/>
      <protection locked="0"/>
    </xf>
    <xf numFmtId="173" fontId="4" fillId="0" borderId="0" xfId="20" applyNumberFormat="1" applyFont="1" applyFill="1" applyBorder="1" applyAlignment="1" applyProtection="1">
      <alignment horizontal="center" vertical="center" shrinkToFit="1"/>
      <protection hidden="1"/>
    </xf>
    <xf numFmtId="0" fontId="4" fillId="0" borderId="0" xfId="0" applyFont="1" applyBorder="1" applyAlignment="1" applyProtection="1">
      <alignment horizontal="center" vertical="center" shrinkToFit="1"/>
      <protection hidden="1"/>
    </xf>
    <xf numFmtId="0" fontId="4" fillId="0" borderId="0" xfId="20" applyFont="1" applyBorder="1" applyAlignment="1" applyProtection="1">
      <alignment horizontal="center" vertical="center" shrinkToFit="1"/>
      <protection hidden="1"/>
    </xf>
    <xf numFmtId="0" fontId="4" fillId="0" borderId="9" xfId="20" applyNumberFormat="1" applyFont="1" applyFill="1" applyBorder="1" applyAlignment="1" applyProtection="1">
      <alignment horizontal="center" shrinkToFit="1"/>
      <protection hidden="1"/>
    </xf>
    <xf numFmtId="0" fontId="4" fillId="0" borderId="9" xfId="0" applyFont="1" applyBorder="1" applyAlignment="1" applyProtection="1">
      <alignment horizontal="center" shrinkToFit="1"/>
      <protection hidden="1"/>
    </xf>
    <xf numFmtId="173" fontId="4" fillId="0" borderId="37" xfId="0" applyNumberFormat="1" applyFont="1" applyBorder="1" applyAlignment="1" applyProtection="1">
      <alignment horizontal="center" vertical="center" shrinkToFit="1"/>
      <protection locked="0"/>
    </xf>
    <xf numFmtId="173" fontId="13" fillId="0" borderId="43" xfId="20" applyNumberFormat="1" applyFont="1" applyFill="1" applyBorder="1" applyAlignment="1" applyProtection="1">
      <alignment horizontal="center" vertical="center" shrinkToFit="1"/>
      <protection hidden="1"/>
    </xf>
    <xf numFmtId="173" fontId="13" fillId="0" borderId="0" xfId="0" applyNumberFormat="1" applyFont="1" applyBorder="1" applyAlignment="1" applyProtection="1">
      <alignment vertical="center"/>
      <protection hidden="1"/>
    </xf>
    <xf numFmtId="173" fontId="13" fillId="0" borderId="37" xfId="0" applyNumberFormat="1" applyFont="1" applyBorder="1" applyAlignment="1" applyProtection="1">
      <alignment vertical="center"/>
      <protection hidden="1"/>
    </xf>
    <xf numFmtId="173" fontId="4" fillId="0" borderId="43" xfId="20" applyNumberFormat="1" applyFont="1" applyFill="1" applyBorder="1" applyAlignment="1" applyProtection="1">
      <alignment horizontal="center" vertical="center" shrinkToFit="1"/>
      <protection hidden="1"/>
    </xf>
    <xf numFmtId="173" fontId="4" fillId="0" borderId="0" xfId="0" applyNumberFormat="1" applyFont="1" applyBorder="1" applyAlignment="1" applyProtection="1">
      <alignment vertical="center"/>
      <protection hidden="1"/>
    </xf>
    <xf numFmtId="173" fontId="4" fillId="0" borderId="37" xfId="0" applyNumberFormat="1" applyFont="1" applyBorder="1" applyAlignment="1" applyProtection="1">
      <alignment vertical="center"/>
      <protection hidden="1"/>
    </xf>
    <xf numFmtId="173" fontId="4" fillId="0" borderId="8" xfId="0" applyNumberFormat="1" applyFont="1" applyBorder="1" applyAlignment="1" applyProtection="1">
      <alignment horizontal="center" vertical="center" shrinkToFit="1"/>
      <protection hidden="1"/>
    </xf>
    <xf numFmtId="173" fontId="4" fillId="0" borderId="60" xfId="0" applyNumberFormat="1" applyFont="1" applyBorder="1" applyAlignment="1" applyProtection="1">
      <alignment horizontal="center" vertical="center" shrinkToFit="1"/>
      <protection hidden="1"/>
    </xf>
    <xf numFmtId="173" fontId="4" fillId="3" borderId="43" xfId="20" applyNumberFormat="1" applyFont="1" applyFill="1" applyBorder="1" applyAlignment="1" applyProtection="1">
      <alignment horizontal="center" vertical="center" shrinkToFit="1"/>
      <protection locked="0"/>
    </xf>
    <xf numFmtId="173" fontId="4" fillId="0" borderId="0" xfId="0" applyNumberFormat="1" applyFont="1" applyBorder="1" applyAlignment="1" applyProtection="1">
      <alignment horizontal="center" vertical="center" shrinkToFit="1"/>
      <protection locked="0"/>
    </xf>
    <xf numFmtId="173" fontId="4" fillId="0" borderId="59" xfId="20" applyNumberFormat="1" applyFont="1" applyFill="1" applyBorder="1" applyAlignment="1" applyProtection="1">
      <alignment horizontal="center" vertical="center" shrinkToFit="1"/>
      <protection hidden="1"/>
    </xf>
    <xf numFmtId="173" fontId="4" fillId="0" borderId="49" xfId="0" applyNumberFormat="1" applyFont="1" applyBorder="1" applyAlignment="1" applyProtection="1">
      <alignment horizontal="center" vertical="center" shrinkToFit="1"/>
      <protection hidden="1"/>
    </xf>
    <xf numFmtId="0" fontId="1" fillId="0" borderId="20" xfId="0" applyFont="1" applyBorder="1" applyAlignment="1" applyProtection="1">
      <alignment horizontal="center" vertical="center" shrinkToFit="1"/>
      <protection hidden="1"/>
    </xf>
    <xf numFmtId="173" fontId="4" fillId="0" borderId="50" xfId="20" applyNumberFormat="1" applyFont="1" applyFill="1" applyBorder="1" applyAlignment="1" applyProtection="1">
      <alignment horizontal="center" vertical="center" shrinkToFit="1"/>
      <protection hidden="1"/>
    </xf>
    <xf numFmtId="173" fontId="4" fillId="0" borderId="9" xfId="0" applyNumberFormat="1" applyFont="1" applyBorder="1" applyAlignment="1" applyProtection="1">
      <alignment horizontal="center" vertical="center" shrinkToFit="1"/>
      <protection hidden="1"/>
    </xf>
    <xf numFmtId="3" fontId="4" fillId="3" borderId="10" xfId="20" applyNumberFormat="1" applyFont="1" applyFill="1" applyBorder="1" applyAlignment="1" applyProtection="1">
      <alignment horizontal="center" vertical="center" shrinkToFit="1"/>
      <protection/>
    </xf>
    <xf numFmtId="0" fontId="4" fillId="3" borderId="11" xfId="20" applyNumberFormat="1" applyFont="1" applyFill="1" applyBorder="1" applyAlignment="1" applyProtection="1">
      <alignment horizontal="center" vertical="center" shrinkToFit="1"/>
      <protection/>
    </xf>
    <xf numFmtId="174" fontId="4" fillId="0" borderId="9" xfId="0" applyNumberFormat="1" applyFont="1" applyBorder="1" applyAlignment="1" applyProtection="1">
      <alignment horizontal="center" vertical="center" shrinkToFit="1"/>
      <protection hidden="1"/>
    </xf>
    <xf numFmtId="0" fontId="0" fillId="0" borderId="73" xfId="0" applyFont="1" applyBorder="1" applyAlignment="1" applyProtection="1">
      <alignment shrinkToFit="1"/>
      <protection hidden="1"/>
    </xf>
    <xf numFmtId="0" fontId="9" fillId="0" borderId="22" xfId="20" applyFont="1" applyBorder="1" applyAlignment="1" applyProtection="1">
      <alignment horizontal="center" vertical="center" shrinkToFit="1"/>
      <protection hidden="1"/>
    </xf>
    <xf numFmtId="0" fontId="9" fillId="0" borderId="22" xfId="0" applyFont="1" applyBorder="1" applyAlignment="1" applyProtection="1">
      <alignment vertical="center" shrinkToFit="1"/>
      <protection hidden="1"/>
    </xf>
    <xf numFmtId="180" fontId="4" fillId="0" borderId="48" xfId="0" applyNumberFormat="1" applyFont="1" applyBorder="1" applyAlignment="1" applyProtection="1">
      <alignment horizontal="center" vertical="center" shrinkToFit="1"/>
      <protection hidden="1"/>
    </xf>
    <xf numFmtId="0" fontId="4" fillId="0" borderId="49" xfId="0" applyFont="1" applyBorder="1" applyAlignment="1" applyProtection="1">
      <alignment horizontal="center" vertical="center" shrinkToFit="1"/>
      <protection hidden="1"/>
    </xf>
    <xf numFmtId="174" fontId="4" fillId="0" borderId="0" xfId="0" applyNumberFormat="1" applyFont="1" applyBorder="1" applyAlignment="1" applyProtection="1">
      <alignment horizontal="center" vertical="center" shrinkToFit="1"/>
      <protection hidden="1"/>
    </xf>
    <xf numFmtId="0" fontId="0" fillId="0" borderId="13" xfId="0" applyFont="1" applyBorder="1" applyAlignment="1" applyProtection="1">
      <alignment shrinkToFit="1"/>
      <protection hidden="1"/>
    </xf>
    <xf numFmtId="0" fontId="9" fillId="0" borderId="22" xfId="0" applyFont="1" applyBorder="1" applyAlignment="1" applyProtection="1">
      <alignment horizontal="center" shrinkToFit="1"/>
      <protection hidden="1"/>
    </xf>
    <xf numFmtId="174" fontId="4" fillId="0" borderId="34" xfId="0" applyNumberFormat="1" applyFont="1" applyBorder="1" applyAlignment="1" applyProtection="1">
      <alignment horizontal="center" vertical="center" shrinkToFit="1"/>
      <protection hidden="1"/>
    </xf>
    <xf numFmtId="0" fontId="0" fillId="0" borderId="0" xfId="0" applyFont="1" applyBorder="1" applyAlignment="1" applyProtection="1">
      <alignment vertical="center" shrinkToFit="1"/>
      <protection hidden="1"/>
    </xf>
    <xf numFmtId="0" fontId="4" fillId="0" borderId="74" xfId="20" applyFont="1" applyBorder="1" applyAlignment="1" applyProtection="1">
      <alignment horizontal="center" vertical="center" shrinkToFit="1"/>
      <protection hidden="1"/>
    </xf>
    <xf numFmtId="0" fontId="0" fillId="0" borderId="75" xfId="0" applyFont="1" applyBorder="1" applyAlignment="1" applyProtection="1">
      <alignment vertical="center" shrinkToFit="1"/>
      <protection hidden="1"/>
    </xf>
    <xf numFmtId="180" fontId="4" fillId="0" borderId="34" xfId="0" applyNumberFormat="1" applyFont="1" applyBorder="1" applyAlignment="1" applyProtection="1">
      <alignment horizontal="center" vertical="center" shrinkToFit="1"/>
      <protection hidden="1"/>
    </xf>
    <xf numFmtId="0" fontId="4" fillId="0" borderId="13" xfId="0" applyFont="1" applyBorder="1" applyAlignment="1" applyProtection="1">
      <alignment vertical="center" shrinkToFit="1"/>
      <protection hidden="1"/>
    </xf>
    <xf numFmtId="0" fontId="14" fillId="0" borderId="48" xfId="0" applyFont="1" applyBorder="1" applyAlignment="1" applyProtection="1">
      <alignment horizontal="center" vertical="center" shrinkToFit="1"/>
      <protection hidden="1"/>
    </xf>
    <xf numFmtId="0" fontId="14" fillId="0" borderId="9" xfId="0" applyFont="1" applyBorder="1" applyAlignment="1" applyProtection="1">
      <alignment vertical="center" shrinkToFit="1"/>
      <protection hidden="1"/>
    </xf>
    <xf numFmtId="0" fontId="4" fillId="0" borderId="9" xfId="0" applyFont="1" applyBorder="1" applyAlignment="1" applyProtection="1">
      <alignment vertical="center" shrinkToFit="1"/>
      <protection hidden="1"/>
    </xf>
    <xf numFmtId="0" fontId="2" fillId="0" borderId="9" xfId="0" applyNumberFormat="1" applyFont="1" applyFill="1" applyBorder="1" applyAlignment="1" applyProtection="1">
      <alignment horizontal="center" vertical="center" shrinkToFit="1"/>
      <protection hidden="1"/>
    </xf>
    <xf numFmtId="0" fontId="2" fillId="0" borderId="9" xfId="0" applyFont="1" applyFill="1" applyBorder="1" applyAlignment="1" applyProtection="1">
      <alignment horizontal="center" vertical="center" shrinkToFit="1"/>
      <protection hidden="1"/>
    </xf>
    <xf numFmtId="0" fontId="0" fillId="0" borderId="0" xfId="0" applyFont="1" applyBorder="1" applyAlignment="1" applyProtection="1">
      <alignment shrinkToFit="1"/>
      <protection hidden="1"/>
    </xf>
    <xf numFmtId="0" fontId="0" fillId="0" borderId="2" xfId="0" applyFont="1" applyBorder="1" applyAlignment="1" applyProtection="1">
      <alignment shrinkToFit="1"/>
      <protection hidden="1"/>
    </xf>
    <xf numFmtId="0" fontId="50" fillId="0" borderId="9" xfId="20" applyFont="1" applyBorder="1" applyAlignment="1" applyProtection="1">
      <alignment horizontal="right" vertical="top" shrinkToFit="1"/>
      <protection hidden="1"/>
    </xf>
    <xf numFmtId="0" fontId="50" fillId="0" borderId="9" xfId="0" applyFont="1" applyBorder="1" applyAlignment="1" applyProtection="1">
      <alignment horizontal="right" vertical="top" shrinkToFit="1"/>
      <protection hidden="1"/>
    </xf>
    <xf numFmtId="0" fontId="4" fillId="0" borderId="73" xfId="0" applyFont="1" applyBorder="1" applyAlignment="1" applyProtection="1">
      <alignment vertical="center" shrinkToFit="1"/>
      <protection hidden="1"/>
    </xf>
    <xf numFmtId="0" fontId="9" fillId="0" borderId="22" xfId="0" applyFont="1" applyBorder="1" applyAlignment="1" applyProtection="1">
      <alignment horizontal="center" vertical="center" shrinkToFit="1"/>
      <protection hidden="1"/>
    </xf>
    <xf numFmtId="0" fontId="13" fillId="0" borderId="84" xfId="20" applyFont="1" applyBorder="1" applyAlignment="1" applyProtection="1">
      <alignment vertical="center" shrinkToFit="1"/>
      <protection hidden="1"/>
    </xf>
    <xf numFmtId="0" fontId="0" fillId="0" borderId="22" xfId="0" applyBorder="1" applyAlignment="1" applyProtection="1">
      <alignment vertical="center" shrinkToFit="1"/>
      <protection hidden="1"/>
    </xf>
    <xf numFmtId="0" fontId="9" fillId="0" borderId="0" xfId="0" applyFont="1" applyBorder="1" applyAlignment="1" applyProtection="1">
      <alignment horizontal="center" shrinkToFit="1"/>
      <protection hidden="1"/>
    </xf>
    <xf numFmtId="0" fontId="13" fillId="0" borderId="0" xfId="20" applyFont="1" applyBorder="1" applyAlignment="1" applyProtection="1">
      <alignment vertical="center" shrinkToFit="1"/>
      <protection hidden="1"/>
    </xf>
    <xf numFmtId="0" fontId="13" fillId="0" borderId="0" xfId="0" applyFont="1" applyBorder="1" applyAlignment="1" applyProtection="1">
      <alignment vertical="center" shrinkToFit="1"/>
      <protection hidden="1"/>
    </xf>
    <xf numFmtId="0" fontId="13" fillId="0" borderId="2" xfId="0" applyFont="1" applyBorder="1" applyAlignment="1" applyProtection="1">
      <alignment vertical="center" shrinkToFit="1"/>
      <protection hidden="1"/>
    </xf>
    <xf numFmtId="3" fontId="4" fillId="0" borderId="43" xfId="20" applyNumberFormat="1" applyFont="1" applyBorder="1" applyAlignment="1" applyProtection="1">
      <alignment horizontal="center" vertical="center" shrinkToFit="1"/>
      <protection hidden="1"/>
    </xf>
    <xf numFmtId="0" fontId="4" fillId="0" borderId="37" xfId="0" applyFont="1" applyBorder="1" applyAlignment="1" applyProtection="1">
      <alignment horizontal="center" vertical="center" shrinkToFit="1"/>
      <protection hidden="1"/>
    </xf>
    <xf numFmtId="183" fontId="4" fillId="0" borderId="43" xfId="0" applyNumberFormat="1" applyFont="1" applyBorder="1" applyAlignment="1" applyProtection="1">
      <alignment horizontal="center" vertical="center" shrinkToFit="1"/>
      <protection hidden="1"/>
    </xf>
    <xf numFmtId="0" fontId="13" fillId="0" borderId="0" xfId="0" applyFont="1" applyBorder="1" applyAlignment="1" applyProtection="1">
      <alignment horizontal="center" vertical="center" shrinkToFit="1"/>
      <protection hidden="1"/>
    </xf>
    <xf numFmtId="0" fontId="9" fillId="0" borderId="22" xfId="20" applyFont="1" applyBorder="1" applyAlignment="1" applyProtection="1">
      <alignment horizontal="center" shrinkToFit="1"/>
      <protection hidden="1"/>
    </xf>
    <xf numFmtId="0" fontId="9" fillId="0" borderId="22" xfId="0" applyFont="1" applyBorder="1" applyAlignment="1" applyProtection="1">
      <alignment horizontal="center" shrinkToFit="1"/>
      <protection hidden="1"/>
    </xf>
    <xf numFmtId="0" fontId="24" fillId="0" borderId="48" xfId="0" applyFont="1" applyBorder="1" applyAlignment="1" applyProtection="1">
      <alignment vertical="center" shrinkToFit="1"/>
      <protection hidden="1"/>
    </xf>
    <xf numFmtId="0" fontId="0" fillId="0" borderId="9" xfId="0" applyBorder="1" applyAlignment="1" applyProtection="1">
      <alignment vertical="center" shrinkToFit="1"/>
      <protection hidden="1"/>
    </xf>
    <xf numFmtId="0" fontId="4" fillId="0" borderId="8" xfId="0" applyFont="1" applyBorder="1" applyAlignment="1" applyProtection="1">
      <alignment vertical="center" shrinkToFit="1"/>
      <protection hidden="1"/>
    </xf>
    <xf numFmtId="0" fontId="4" fillId="0" borderId="75" xfId="0" applyFont="1" applyBorder="1" applyAlignment="1" applyProtection="1">
      <alignment vertical="center" shrinkToFit="1"/>
      <protection hidden="1"/>
    </xf>
    <xf numFmtId="180" fontId="4" fillId="0" borderId="13" xfId="0" applyNumberFormat="1" applyFont="1" applyBorder="1" applyAlignment="1" applyProtection="1">
      <alignment horizontal="center" vertical="center" shrinkToFit="1"/>
      <protection hidden="1"/>
    </xf>
    <xf numFmtId="0" fontId="4" fillId="0" borderId="48" xfId="20" applyFont="1" applyBorder="1" applyAlignment="1" applyProtection="1">
      <alignment horizontal="center" vertical="center" shrinkToFit="1"/>
      <protection hidden="1"/>
    </xf>
    <xf numFmtId="0" fontId="0" fillId="0" borderId="73" xfId="0" applyFont="1" applyBorder="1" applyAlignment="1" applyProtection="1">
      <alignment vertical="center" shrinkToFit="1"/>
      <protection hidden="1"/>
    </xf>
    <xf numFmtId="0" fontId="4" fillId="0" borderId="0" xfId="20" applyFont="1" applyBorder="1" applyAlignment="1" applyProtection="1">
      <alignment horizontal="left" vertical="center" shrinkToFit="1"/>
      <protection hidden="1"/>
    </xf>
    <xf numFmtId="0" fontId="4" fillId="0" borderId="13" xfId="0" applyFont="1" applyBorder="1" applyAlignment="1" applyProtection="1">
      <alignment/>
      <protection hidden="1"/>
    </xf>
    <xf numFmtId="174" fontId="4" fillId="0" borderId="48" xfId="0" applyNumberFormat="1" applyFont="1" applyBorder="1" applyAlignment="1" applyProtection="1">
      <alignment horizontal="center" vertical="center" shrinkToFit="1"/>
      <protection hidden="1"/>
    </xf>
    <xf numFmtId="0" fontId="0" fillId="0" borderId="9" xfId="0" applyFont="1" applyBorder="1" applyAlignment="1" applyProtection="1">
      <alignment vertical="center" shrinkToFit="1"/>
      <protection hidden="1"/>
    </xf>
    <xf numFmtId="0" fontId="4" fillId="0" borderId="73" xfId="0" applyFont="1" applyBorder="1" applyAlignment="1" applyProtection="1">
      <alignment shrinkToFit="1"/>
      <protection hidden="1"/>
    </xf>
    <xf numFmtId="0" fontId="0" fillId="0" borderId="13" xfId="0" applyFont="1" applyBorder="1" applyAlignment="1" applyProtection="1">
      <alignment vertical="center" shrinkToFit="1"/>
      <protection hidden="1"/>
    </xf>
    <xf numFmtId="2" fontId="4" fillId="0" borderId="59" xfId="0" applyNumberFormat="1" applyFont="1" applyBorder="1" applyAlignment="1" applyProtection="1">
      <alignment horizontal="center" vertical="center" shrinkToFit="1"/>
      <protection hidden="1"/>
    </xf>
    <xf numFmtId="2" fontId="4" fillId="0" borderId="8" xfId="0" applyNumberFormat="1" applyFont="1" applyBorder="1" applyAlignment="1" applyProtection="1">
      <alignment horizontal="center" vertical="center" shrinkToFit="1"/>
      <protection hidden="1"/>
    </xf>
    <xf numFmtId="2" fontId="4" fillId="0" borderId="60" xfId="0" applyNumberFormat="1" applyFont="1" applyBorder="1" applyAlignment="1" applyProtection="1">
      <alignment horizontal="center" vertical="center" shrinkToFit="1"/>
      <protection hidden="1"/>
    </xf>
    <xf numFmtId="0" fontId="4" fillId="0" borderId="43" xfId="0" applyNumberFormat="1" applyFont="1" applyBorder="1" applyAlignment="1" applyProtection="1">
      <alignment horizontal="center" vertical="center" shrinkToFit="1"/>
      <protection hidden="1"/>
    </xf>
    <xf numFmtId="0" fontId="4" fillId="0" borderId="0" xfId="0" applyNumberFormat="1" applyFont="1" applyBorder="1" applyAlignment="1" applyProtection="1">
      <alignment horizontal="center" vertical="center" shrinkToFit="1"/>
      <protection hidden="1"/>
    </xf>
    <xf numFmtId="3" fontId="4" fillId="0" borderId="0" xfId="0" applyNumberFormat="1" applyFont="1" applyBorder="1" applyAlignment="1" applyProtection="1">
      <alignment horizontal="center" vertical="center" shrinkToFit="1"/>
      <protection hidden="1"/>
    </xf>
    <xf numFmtId="3" fontId="4" fillId="0" borderId="37" xfId="0" applyNumberFormat="1" applyFont="1" applyBorder="1" applyAlignment="1" applyProtection="1">
      <alignment horizontal="center" vertical="center" shrinkToFit="1"/>
      <protection hidden="1"/>
    </xf>
    <xf numFmtId="175" fontId="4" fillId="0" borderId="0" xfId="20" applyNumberFormat="1" applyFont="1" applyBorder="1" applyAlignment="1" applyProtection="1">
      <alignment horizontal="center" vertical="center" shrinkToFit="1"/>
      <protection hidden="1"/>
    </xf>
    <xf numFmtId="174" fontId="4" fillId="0" borderId="50" xfId="0" applyNumberFormat="1" applyFont="1" applyBorder="1" applyAlignment="1" applyProtection="1">
      <alignment horizontal="center" vertical="center" shrinkToFit="1"/>
      <protection hidden="1"/>
    </xf>
    <xf numFmtId="0" fontId="4" fillId="0" borderId="9" xfId="0" applyFont="1" applyBorder="1" applyAlignment="1" applyProtection="1">
      <alignment horizontal="center" vertical="center" shrinkToFit="1"/>
      <protection hidden="1"/>
    </xf>
    <xf numFmtId="0" fontId="4" fillId="0" borderId="73" xfId="0" applyFont="1" applyBorder="1" applyAlignment="1" applyProtection="1">
      <alignment horizontal="center" vertical="center" shrinkToFit="1"/>
      <protection hidden="1"/>
    </xf>
    <xf numFmtId="3" fontId="4" fillId="0" borderId="59" xfId="0" applyNumberFormat="1" applyFont="1" applyBorder="1" applyAlignment="1" applyProtection="1">
      <alignment horizontal="center" vertical="top" shrinkToFit="1"/>
      <protection hidden="1"/>
    </xf>
    <xf numFmtId="0" fontId="4" fillId="0" borderId="8" xfId="0" applyFont="1" applyBorder="1" applyAlignment="1" applyProtection="1">
      <alignment horizontal="center" vertical="top" shrinkToFit="1"/>
      <protection hidden="1"/>
    </xf>
    <xf numFmtId="0" fontId="4" fillId="0" borderId="60" xfId="0" applyFont="1" applyBorder="1" applyAlignment="1" applyProtection="1">
      <alignment horizontal="center" vertical="top" shrinkToFit="1"/>
      <protection hidden="1"/>
    </xf>
    <xf numFmtId="4" fontId="3" fillId="0" borderId="43" xfId="20" applyNumberFormat="1" applyFont="1" applyBorder="1" applyAlignment="1" applyProtection="1">
      <alignment horizontal="center" vertical="center" shrinkToFit="1"/>
      <protection hidden="1"/>
    </xf>
    <xf numFmtId="4" fontId="3" fillId="0" borderId="0" xfId="0" applyNumberFormat="1"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3" fillId="0" borderId="37" xfId="0" applyFont="1" applyBorder="1" applyAlignment="1" applyProtection="1">
      <alignment horizontal="center" vertical="center" shrinkToFit="1"/>
      <protection hidden="1"/>
    </xf>
    <xf numFmtId="2" fontId="4" fillId="0" borderId="0" xfId="0" applyNumberFormat="1" applyFont="1" applyBorder="1" applyAlignment="1" applyProtection="1">
      <alignment horizontal="center" vertical="center" shrinkToFit="1"/>
      <protection hidden="1"/>
    </xf>
    <xf numFmtId="0" fontId="2" fillId="0" borderId="9" xfId="0" applyFont="1" applyBorder="1" applyAlignment="1" applyProtection="1">
      <alignment shrinkToFit="1"/>
      <protection hidden="1"/>
    </xf>
    <xf numFmtId="0" fontId="17" fillId="0" borderId="9" xfId="0" applyFont="1" applyBorder="1" applyAlignment="1" applyProtection="1">
      <alignment shrinkToFit="1"/>
      <protection hidden="1"/>
    </xf>
    <xf numFmtId="0" fontId="0" fillId="0" borderId="9" xfId="0" applyBorder="1" applyAlignment="1" applyProtection="1">
      <alignment shrinkToFit="1"/>
      <protection hidden="1"/>
    </xf>
    <xf numFmtId="0" fontId="0" fillId="0" borderId="20" xfId="0" applyBorder="1" applyAlignment="1" applyProtection="1">
      <alignment shrinkToFit="1"/>
      <protection hidden="1"/>
    </xf>
    <xf numFmtId="0" fontId="14" fillId="0" borderId="0" xfId="20" applyFont="1" applyBorder="1" applyAlignment="1" applyProtection="1">
      <alignment vertical="center" shrinkToFit="1"/>
      <protection hidden="1"/>
    </xf>
    <xf numFmtId="0" fontId="50" fillId="0" borderId="34" xfId="20" applyFont="1" applyBorder="1" applyAlignment="1" applyProtection="1">
      <alignment horizontal="right" vertical="top" shrinkToFit="1"/>
      <protection hidden="1"/>
    </xf>
    <xf numFmtId="0" fontId="50" fillId="0" borderId="13" xfId="0" applyFont="1" applyBorder="1" applyAlignment="1" applyProtection="1">
      <alignment horizontal="right" vertical="top" shrinkToFit="1"/>
      <protection hidden="1"/>
    </xf>
    <xf numFmtId="0" fontId="4" fillId="0" borderId="75" xfId="0" applyFont="1" applyBorder="1" applyAlignment="1" applyProtection="1">
      <alignment horizontal="center" vertical="center" shrinkToFit="1"/>
      <protection hidden="1"/>
    </xf>
    <xf numFmtId="0" fontId="2" fillId="0" borderId="0" xfId="0" applyFont="1" applyBorder="1" applyAlignment="1" applyProtection="1">
      <alignment vertical="center" shrinkToFit="1"/>
      <protection hidden="1"/>
    </xf>
    <xf numFmtId="0" fontId="0" fillId="0" borderId="0" xfId="0" applyBorder="1" applyAlignment="1" applyProtection="1">
      <alignment vertical="center" shrinkToFit="1"/>
      <protection hidden="1"/>
    </xf>
    <xf numFmtId="0" fontId="0" fillId="0" borderId="2" xfId="0" applyBorder="1" applyAlignment="1" applyProtection="1">
      <alignment vertical="center" shrinkToFit="1"/>
      <protection hidden="1"/>
    </xf>
    <xf numFmtId="0" fontId="4" fillId="0" borderId="74" xfId="0" applyFont="1" applyBorder="1" applyAlignment="1" applyProtection="1">
      <alignment vertical="center" shrinkToFit="1"/>
      <protection hidden="1"/>
    </xf>
    <xf numFmtId="173" fontId="18" fillId="0" borderId="34" xfId="20" applyNumberFormat="1" applyFont="1" applyBorder="1" applyAlignment="1" applyProtection="1">
      <alignment horizontal="center" vertical="center" shrinkToFit="1"/>
      <protection hidden="1"/>
    </xf>
    <xf numFmtId="0" fontId="18" fillId="0" borderId="0" xfId="0" applyFont="1" applyBorder="1" applyAlignment="1" applyProtection="1">
      <alignment horizontal="center" vertical="center" shrinkToFit="1"/>
      <protection hidden="1"/>
    </xf>
    <xf numFmtId="0" fontId="18" fillId="0" borderId="13" xfId="0" applyFont="1" applyBorder="1" applyAlignment="1" applyProtection="1">
      <alignment horizontal="center" vertical="center" shrinkToFit="1"/>
      <protection hidden="1"/>
    </xf>
    <xf numFmtId="173" fontId="18" fillId="0" borderId="9" xfId="20" applyNumberFormat="1" applyFont="1" applyBorder="1" applyAlignment="1" applyProtection="1">
      <alignment horizontal="center" vertical="top" shrinkToFit="1"/>
      <protection hidden="1"/>
    </xf>
    <xf numFmtId="173" fontId="29" fillId="0" borderId="9" xfId="0" applyNumberFormat="1" applyFont="1" applyBorder="1" applyAlignment="1" applyProtection="1">
      <alignment horizontal="center" vertical="top" shrinkToFit="1"/>
      <protection hidden="1"/>
    </xf>
    <xf numFmtId="0" fontId="29" fillId="0" borderId="9" xfId="0" applyFont="1" applyBorder="1" applyAlignment="1" applyProtection="1">
      <alignment horizontal="center" vertical="top" shrinkToFit="1"/>
      <protection hidden="1"/>
    </xf>
    <xf numFmtId="0" fontId="9" fillId="0" borderId="22" xfId="0" applyFont="1" applyBorder="1" applyAlignment="1" applyProtection="1">
      <alignment vertical="center"/>
      <protection hidden="1"/>
    </xf>
    <xf numFmtId="180" fontId="4" fillId="0" borderId="48" xfId="0" applyNumberFormat="1" applyFont="1" applyBorder="1" applyAlignment="1" applyProtection="1">
      <alignment horizontal="center" vertical="center" shrinkToFit="1"/>
      <protection hidden="1"/>
    </xf>
    <xf numFmtId="180" fontId="4" fillId="0" borderId="0" xfId="0" applyNumberFormat="1" applyFont="1" applyBorder="1" applyAlignment="1" applyProtection="1">
      <alignment horizontal="center" vertical="center" shrinkToFit="1"/>
      <protection hidden="1"/>
    </xf>
    <xf numFmtId="0" fontId="4" fillId="0" borderId="0" xfId="0" applyFont="1" applyBorder="1" applyAlignment="1" applyProtection="1">
      <alignment horizontal="center" vertical="center" shrinkToFit="1"/>
      <protection hidden="1"/>
    </xf>
    <xf numFmtId="0" fontId="4" fillId="0" borderId="48" xfId="20" applyFont="1" applyBorder="1" applyAlignment="1" applyProtection="1">
      <alignment horizontal="center" vertical="center" shrinkToFit="1"/>
      <protection hidden="1"/>
    </xf>
    <xf numFmtId="0" fontId="4" fillId="0" borderId="73" xfId="20" applyFont="1" applyBorder="1" applyAlignment="1" applyProtection="1">
      <alignment horizontal="center" vertical="center" shrinkToFit="1"/>
      <protection hidden="1"/>
    </xf>
    <xf numFmtId="0" fontId="43" fillId="0" borderId="22" xfId="20" applyFont="1" applyBorder="1" applyAlignment="1" applyProtection="1">
      <alignment horizontal="center" vertical="center" shrinkToFit="1"/>
      <protection hidden="1"/>
    </xf>
    <xf numFmtId="0" fontId="43" fillId="0" borderId="22" xfId="0" applyFont="1" applyBorder="1" applyAlignment="1" applyProtection="1">
      <alignment horizontal="center" vertical="center" shrinkToFit="1"/>
      <protection hidden="1"/>
    </xf>
    <xf numFmtId="180" fontId="4" fillId="0" borderId="9" xfId="0" applyNumberFormat="1" applyFont="1" applyBorder="1" applyAlignment="1" applyProtection="1">
      <alignment horizontal="center" vertical="center" shrinkToFit="1"/>
      <protection hidden="1"/>
    </xf>
    <xf numFmtId="0" fontId="4" fillId="0" borderId="13" xfId="0" applyFont="1" applyBorder="1" applyAlignment="1" applyProtection="1">
      <alignment shrinkToFit="1"/>
      <protection hidden="1"/>
    </xf>
    <xf numFmtId="174" fontId="18" fillId="0" borderId="9" xfId="20" applyNumberFormat="1" applyFont="1" applyBorder="1" applyAlignment="1" applyProtection="1">
      <alignment horizontal="center" vertical="top" shrinkToFit="1"/>
      <protection hidden="1"/>
    </xf>
    <xf numFmtId="0" fontId="13" fillId="0" borderId="9" xfId="0" applyFont="1" applyBorder="1" applyAlignment="1" applyProtection="1">
      <alignment horizontal="center" vertical="top" shrinkToFit="1"/>
      <protection hidden="1"/>
    </xf>
    <xf numFmtId="174" fontId="4" fillId="0" borderId="74" xfId="20" applyNumberFormat="1" applyFont="1" applyBorder="1" applyAlignment="1" applyProtection="1">
      <alignment horizontal="center" vertical="center" shrinkToFit="1"/>
      <protection hidden="1"/>
    </xf>
    <xf numFmtId="0" fontId="4" fillId="0" borderId="8" xfId="0" applyFont="1" applyBorder="1" applyAlignment="1" applyProtection="1">
      <alignment horizontal="center" vertical="center" shrinkToFit="1"/>
      <protection hidden="1"/>
    </xf>
    <xf numFmtId="174" fontId="18" fillId="0" borderId="28" xfId="20" applyNumberFormat="1" applyFont="1" applyBorder="1" applyAlignment="1" applyProtection="1">
      <alignment horizontal="center" vertical="center" shrinkToFit="1"/>
      <protection hidden="1"/>
    </xf>
    <xf numFmtId="0" fontId="18" fillId="0" borderId="28" xfId="0" applyFont="1" applyBorder="1" applyAlignment="1" applyProtection="1">
      <alignment horizontal="center" vertical="center" shrinkToFit="1"/>
      <protection hidden="1"/>
    </xf>
    <xf numFmtId="180" fontId="4" fillId="0" borderId="46" xfId="0" applyNumberFormat="1" applyFont="1" applyBorder="1" applyAlignment="1" applyProtection="1">
      <alignment horizontal="center" vertical="center" shrinkToFit="1"/>
      <protection hidden="1"/>
    </xf>
    <xf numFmtId="0" fontId="4" fillId="0" borderId="46" xfId="0" applyFont="1" applyBorder="1" applyAlignment="1" applyProtection="1">
      <alignment horizontal="center" vertical="center" shrinkToFit="1"/>
      <protection hidden="1"/>
    </xf>
    <xf numFmtId="0" fontId="4" fillId="0" borderId="47" xfId="0" applyFont="1" applyBorder="1" applyAlignment="1" applyProtection="1">
      <alignment horizontal="center" vertical="center" shrinkToFit="1"/>
      <protection hidden="1"/>
    </xf>
    <xf numFmtId="183" fontId="4" fillId="0" borderId="59" xfId="0" applyNumberFormat="1" applyFont="1" applyFill="1" applyBorder="1" applyAlignment="1" applyProtection="1">
      <alignment horizontal="center" vertical="center" shrinkToFit="1"/>
      <protection hidden="1"/>
    </xf>
    <xf numFmtId="0" fontId="4" fillId="0" borderId="8" xfId="0" applyFont="1" applyFill="1" applyBorder="1" applyAlignment="1" applyProtection="1">
      <alignment horizontal="center" vertical="center" shrinkToFit="1"/>
      <protection hidden="1"/>
    </xf>
    <xf numFmtId="0" fontId="4" fillId="0" borderId="60" xfId="0" applyFont="1" applyFill="1" applyBorder="1" applyAlignment="1" applyProtection="1">
      <alignment horizontal="center" vertical="center" shrinkToFit="1"/>
      <protection hidden="1"/>
    </xf>
    <xf numFmtId="183" fontId="4" fillId="0" borderId="59" xfId="0" applyNumberFormat="1" applyFont="1" applyBorder="1" applyAlignment="1" applyProtection="1">
      <alignment horizontal="center" vertical="center" shrinkToFit="1"/>
      <protection hidden="1"/>
    </xf>
    <xf numFmtId="0" fontId="4" fillId="0" borderId="60" xfId="0" applyFont="1" applyBorder="1" applyAlignment="1" applyProtection="1">
      <alignment vertical="center" shrinkToFit="1"/>
      <protection hidden="1"/>
    </xf>
    <xf numFmtId="180" fontId="4" fillId="0" borderId="50" xfId="20" applyNumberFormat="1" applyFont="1" applyBorder="1" applyAlignment="1" applyProtection="1">
      <alignment horizontal="center" vertical="center" shrinkToFit="1"/>
      <protection hidden="1"/>
    </xf>
    <xf numFmtId="180" fontId="4" fillId="0" borderId="43" xfId="20" applyNumberFormat="1" applyFont="1" applyBorder="1" applyAlignment="1" applyProtection="1">
      <alignment horizontal="center" vertical="center" shrinkToFit="1"/>
      <protection hidden="1"/>
    </xf>
    <xf numFmtId="0" fontId="4" fillId="0" borderId="37" xfId="0" applyFont="1" applyBorder="1" applyAlignment="1" applyProtection="1">
      <alignment horizontal="center" vertical="center" shrinkToFit="1"/>
      <protection hidden="1"/>
    </xf>
    <xf numFmtId="2" fontId="4" fillId="3" borderId="34" xfId="20" applyNumberFormat="1" applyFont="1" applyFill="1" applyBorder="1" applyAlignment="1" applyProtection="1">
      <alignment horizontal="center" vertical="center" shrinkToFit="1"/>
      <protection locked="0"/>
    </xf>
    <xf numFmtId="2" fontId="4" fillId="0" borderId="0" xfId="0" applyNumberFormat="1" applyFont="1" applyBorder="1" applyAlignment="1" applyProtection="1">
      <alignment horizontal="center" vertical="center" shrinkToFit="1"/>
      <protection locked="0"/>
    </xf>
    <xf numFmtId="2" fontId="4" fillId="0" borderId="13" xfId="0" applyNumberFormat="1" applyFont="1" applyBorder="1" applyAlignment="1" applyProtection="1">
      <alignment horizontal="center" vertical="center" shrinkToFit="1"/>
      <protection locked="0"/>
    </xf>
    <xf numFmtId="0" fontId="4" fillId="0" borderId="63" xfId="0" applyFont="1" applyBorder="1" applyAlignment="1" applyProtection="1">
      <alignment vertical="center" shrinkToFit="1"/>
      <protection hidden="1"/>
    </xf>
    <xf numFmtId="0" fontId="4" fillId="0" borderId="64" xfId="0" applyFont="1" applyBorder="1" applyAlignment="1" applyProtection="1">
      <alignment vertical="center" shrinkToFit="1"/>
      <protection hidden="1"/>
    </xf>
    <xf numFmtId="185" fontId="4" fillId="0" borderId="0" xfId="0" applyNumberFormat="1" applyFont="1" applyBorder="1" applyAlignment="1" applyProtection="1">
      <alignment horizontal="center" vertical="center" shrinkToFit="1"/>
      <protection hidden="1"/>
    </xf>
    <xf numFmtId="174" fontId="4" fillId="0" borderId="34" xfId="20" applyNumberFormat="1" applyFont="1" applyBorder="1" applyAlignment="1" applyProtection="1">
      <alignment horizontal="center" vertical="center" shrinkToFit="1"/>
      <protection hidden="1"/>
    </xf>
    <xf numFmtId="0" fontId="2" fillId="0" borderId="85" xfId="20" applyFont="1" applyBorder="1" applyAlignment="1" applyProtection="1">
      <alignment horizontal="center" vertical="center" shrinkToFit="1"/>
      <protection hidden="1"/>
    </xf>
    <xf numFmtId="0" fontId="0" fillId="0" borderId="29" xfId="0" applyBorder="1" applyAlignment="1" applyProtection="1">
      <alignment horizontal="center" vertical="center" shrinkToFit="1"/>
      <protection hidden="1"/>
    </xf>
    <xf numFmtId="0" fontId="0" fillId="0" borderId="86" xfId="0" applyBorder="1" applyAlignment="1" applyProtection="1">
      <alignment horizontal="center" vertical="center" shrinkToFit="1"/>
      <protection hidden="1"/>
    </xf>
    <xf numFmtId="0" fontId="4" fillId="0" borderId="50" xfId="0" applyFont="1" applyBorder="1" applyAlignment="1" applyProtection="1">
      <alignment horizontal="center" vertical="center" shrinkToFit="1"/>
      <protection hidden="1"/>
    </xf>
    <xf numFmtId="0" fontId="4" fillId="0" borderId="9" xfId="0" applyFont="1" applyBorder="1" applyAlignment="1" applyProtection="1">
      <alignment horizontal="center" vertical="center" shrinkToFit="1"/>
      <protection hidden="1"/>
    </xf>
    <xf numFmtId="0" fontId="4" fillId="0" borderId="49" xfId="0" applyFont="1" applyBorder="1" applyAlignment="1" applyProtection="1">
      <alignment horizontal="center" vertical="center" shrinkToFit="1"/>
      <protection hidden="1"/>
    </xf>
    <xf numFmtId="0" fontId="4" fillId="0" borderId="34" xfId="20" applyFont="1" applyBorder="1" applyAlignment="1" applyProtection="1">
      <alignment vertical="center" shrinkToFit="1"/>
      <protection hidden="1"/>
    </xf>
    <xf numFmtId="0" fontId="4" fillId="0" borderId="13" xfId="0" applyFont="1" applyBorder="1" applyAlignment="1" applyProtection="1">
      <alignment vertical="center" shrinkToFit="1"/>
      <protection hidden="1"/>
    </xf>
    <xf numFmtId="183" fontId="4" fillId="3" borderId="48" xfId="20" applyNumberFormat="1" applyFont="1" applyFill="1" applyBorder="1" applyAlignment="1" applyProtection="1">
      <alignment horizontal="center" shrinkToFit="1"/>
      <protection locked="0"/>
    </xf>
    <xf numFmtId="183" fontId="4" fillId="0" borderId="9" xfId="0" applyNumberFormat="1" applyFont="1" applyBorder="1" applyAlignment="1" applyProtection="1">
      <alignment horizontal="center" shrinkToFit="1"/>
      <protection locked="0"/>
    </xf>
    <xf numFmtId="183" fontId="4" fillId="0" borderId="9" xfId="0" applyNumberFormat="1" applyFont="1" applyBorder="1" applyAlignment="1" applyProtection="1">
      <alignment shrinkToFit="1"/>
      <protection locked="0"/>
    </xf>
    <xf numFmtId="183" fontId="4" fillId="0" borderId="73" xfId="0" applyNumberFormat="1" applyFont="1" applyBorder="1" applyAlignment="1" applyProtection="1">
      <alignment shrinkToFit="1"/>
      <protection locked="0"/>
    </xf>
    <xf numFmtId="0" fontId="18" fillId="0" borderId="9" xfId="0" applyFont="1" applyBorder="1" applyAlignment="1" applyProtection="1">
      <alignment horizontal="center" vertical="center" shrinkToFit="1"/>
      <protection hidden="1"/>
    </xf>
    <xf numFmtId="0" fontId="20" fillId="0" borderId="9" xfId="0" applyFont="1" applyBorder="1" applyAlignment="1" applyProtection="1">
      <alignment horizontal="center" vertical="center" shrinkToFit="1"/>
      <protection hidden="1"/>
    </xf>
    <xf numFmtId="0" fontId="13" fillId="0" borderId="8" xfId="20" applyFont="1" applyBorder="1" applyAlignment="1" applyProtection="1">
      <alignment horizontal="center" vertical="center" shrinkToFit="1"/>
      <protection hidden="1"/>
    </xf>
    <xf numFmtId="183" fontId="4" fillId="3" borderId="34" xfId="20" applyNumberFormat="1" applyFont="1" applyFill="1" applyBorder="1" applyAlignment="1" applyProtection="1">
      <alignment horizontal="center" vertical="center" shrinkToFit="1"/>
      <protection locked="0"/>
    </xf>
    <xf numFmtId="183" fontId="4" fillId="0" borderId="0" xfId="0" applyNumberFormat="1" applyFont="1" applyBorder="1" applyAlignment="1" applyProtection="1">
      <alignment horizontal="center" vertical="center" shrinkToFit="1"/>
      <protection locked="0"/>
    </xf>
    <xf numFmtId="183" fontId="4" fillId="0" borderId="0" xfId="0" applyNumberFormat="1" applyFont="1" applyBorder="1" applyAlignment="1" applyProtection="1">
      <alignment vertical="center" shrinkToFit="1"/>
      <protection locked="0"/>
    </xf>
    <xf numFmtId="183" fontId="4" fillId="0" borderId="13" xfId="0" applyNumberFormat="1" applyFont="1" applyBorder="1" applyAlignment="1" applyProtection="1">
      <alignment vertical="center" shrinkToFit="1"/>
      <protection locked="0"/>
    </xf>
    <xf numFmtId="0" fontId="50" fillId="0" borderId="22" xfId="0" applyFont="1" applyBorder="1" applyAlignment="1" applyProtection="1">
      <alignment horizontal="right" shrinkToFit="1"/>
      <protection hidden="1"/>
    </xf>
    <xf numFmtId="0" fontId="4" fillId="3" borderId="0" xfId="20" applyNumberFormat="1" applyFont="1" applyFill="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173" fontId="4" fillId="3" borderId="0" xfId="20" applyNumberFormat="1" applyFont="1" applyFill="1" applyBorder="1" applyAlignment="1" applyProtection="1">
      <alignment horizontal="center" vertical="center" shrinkToFit="1"/>
      <protection locked="0"/>
    </xf>
    <xf numFmtId="0" fontId="4" fillId="0" borderId="87" xfId="20" applyFont="1" applyBorder="1" applyAlignment="1" applyProtection="1">
      <alignment horizontal="center" vertical="center" shrinkToFit="1"/>
      <protection hidden="1"/>
    </xf>
    <xf numFmtId="0" fontId="4" fillId="0" borderId="46" xfId="20" applyFont="1" applyBorder="1" applyAlignment="1" applyProtection="1">
      <alignment horizontal="center" vertical="center" shrinkToFit="1"/>
      <protection hidden="1"/>
    </xf>
    <xf numFmtId="0" fontId="0" fillId="0" borderId="2" xfId="0" applyFont="1" applyBorder="1" applyAlignment="1" applyProtection="1">
      <alignment/>
      <protection hidden="1"/>
    </xf>
    <xf numFmtId="0" fontId="4" fillId="0" borderId="74" xfId="0" applyFont="1" applyBorder="1" applyAlignment="1" applyProtection="1">
      <alignment horizontal="center" vertical="center" shrinkToFit="1"/>
      <protection hidden="1"/>
    </xf>
    <xf numFmtId="0" fontId="4" fillId="0" borderId="19" xfId="0" applyFont="1" applyBorder="1" applyAlignment="1" applyProtection="1">
      <alignment horizontal="center" vertical="center" shrinkToFit="1"/>
      <protection hidden="1"/>
    </xf>
    <xf numFmtId="0" fontId="7" fillId="0" borderId="0" xfId="0" applyFont="1" applyBorder="1" applyAlignment="1" applyProtection="1">
      <alignment horizontal="center" vertical="center" shrinkToFit="1"/>
      <protection hidden="1"/>
    </xf>
    <xf numFmtId="0" fontId="7" fillId="0" borderId="2" xfId="0" applyFont="1" applyBorder="1" applyAlignment="1" applyProtection="1">
      <alignment horizontal="center" vertical="center" shrinkToFit="1"/>
      <protection hidden="1"/>
    </xf>
    <xf numFmtId="183" fontId="4" fillId="3" borderId="74" xfId="20" applyNumberFormat="1" applyFont="1" applyFill="1" applyBorder="1" applyAlignment="1" applyProtection="1">
      <alignment horizontal="center" vertical="top" shrinkToFit="1"/>
      <protection locked="0"/>
    </xf>
    <xf numFmtId="183" fontId="4" fillId="0" borderId="8" xfId="0" applyNumberFormat="1" applyFont="1" applyBorder="1" applyAlignment="1" applyProtection="1">
      <alignment horizontal="center" vertical="top" shrinkToFit="1"/>
      <protection locked="0"/>
    </xf>
    <xf numFmtId="183" fontId="4" fillId="0" borderId="8" xfId="0" applyNumberFormat="1" applyFont="1" applyBorder="1" applyAlignment="1" applyProtection="1">
      <alignment vertical="top" shrinkToFit="1"/>
      <protection locked="0"/>
    </xf>
    <xf numFmtId="183" fontId="4" fillId="0" borderId="75" xfId="0" applyNumberFormat="1" applyFont="1" applyBorder="1" applyAlignment="1" applyProtection="1">
      <alignment vertical="top" shrinkToFit="1"/>
      <protection locked="0"/>
    </xf>
    <xf numFmtId="0" fontId="4" fillId="0" borderId="0" xfId="20" applyFont="1" applyFill="1" applyBorder="1" applyAlignment="1" applyProtection="1">
      <alignment horizontal="left" vertical="top" shrinkToFit="1"/>
      <protection hidden="1"/>
    </xf>
    <xf numFmtId="0" fontId="4" fillId="0" borderId="0" xfId="0" applyFont="1" applyBorder="1" applyAlignment="1" applyProtection="1">
      <alignment vertical="top" shrinkToFit="1"/>
      <protection hidden="1"/>
    </xf>
    <xf numFmtId="0" fontId="4" fillId="0" borderId="34" xfId="0" applyFont="1" applyBorder="1" applyAlignment="1" applyProtection="1">
      <alignment vertical="center" shrinkToFit="1"/>
      <protection hidden="1"/>
    </xf>
    <xf numFmtId="0" fontId="4" fillId="0" borderId="0" xfId="0" applyFont="1" applyBorder="1" applyAlignment="1" applyProtection="1">
      <alignment vertical="center" shrinkToFit="1"/>
      <protection hidden="1"/>
    </xf>
    <xf numFmtId="0" fontId="2" fillId="0" borderId="88" xfId="20" applyFont="1" applyBorder="1" applyAlignment="1" applyProtection="1">
      <alignment horizontal="center" vertical="center" shrinkToFit="1"/>
      <protection hidden="1"/>
    </xf>
    <xf numFmtId="0" fontId="30" fillId="0" borderId="22" xfId="20" applyFont="1" applyBorder="1" applyAlignment="1" applyProtection="1">
      <alignment horizontal="left" vertical="center" shrinkToFit="1"/>
      <protection hidden="1"/>
    </xf>
    <xf numFmtId="0" fontId="31" fillId="0" borderId="22" xfId="0" applyFont="1" applyBorder="1" applyAlignment="1" applyProtection="1">
      <alignment horizontal="left" vertical="center" shrinkToFit="1"/>
      <protection hidden="1"/>
    </xf>
    <xf numFmtId="0" fontId="4" fillId="0" borderId="47" xfId="20" applyFont="1" applyBorder="1" applyAlignment="1" applyProtection="1">
      <alignment horizontal="center" vertical="center" shrinkToFit="1"/>
      <protection hidden="1"/>
    </xf>
    <xf numFmtId="0" fontId="2" fillId="0" borderId="54" xfId="0" applyFont="1" applyBorder="1" applyAlignment="1" applyProtection="1">
      <alignment vertical="center" shrinkToFit="1"/>
      <protection hidden="1"/>
    </xf>
    <xf numFmtId="0" fontId="0" fillId="0" borderId="52" xfId="0" applyFont="1" applyBorder="1" applyAlignment="1" applyProtection="1">
      <alignment vertical="center" shrinkToFit="1"/>
      <protection hidden="1"/>
    </xf>
    <xf numFmtId="0" fontId="0" fillId="0" borderId="79" xfId="0" applyFont="1" applyBorder="1" applyAlignment="1" applyProtection="1">
      <alignment vertical="center" shrinkToFit="1"/>
      <protection hidden="1"/>
    </xf>
    <xf numFmtId="180" fontId="4" fillId="0" borderId="74" xfId="0" applyNumberFormat="1" applyFont="1" applyBorder="1" applyAlignment="1" applyProtection="1">
      <alignment horizontal="center" vertical="center" shrinkToFit="1"/>
      <protection hidden="1"/>
    </xf>
    <xf numFmtId="0" fontId="4" fillId="0" borderId="60" xfId="0" applyFont="1" applyBorder="1" applyAlignment="1" applyProtection="1">
      <alignment horizontal="center" vertical="center" shrinkToFit="1"/>
      <protection hidden="1"/>
    </xf>
    <xf numFmtId="0" fontId="4" fillId="0" borderId="0" xfId="0" applyFont="1" applyBorder="1" applyAlignment="1" applyProtection="1">
      <alignment shrinkToFit="1"/>
      <protection hidden="1"/>
    </xf>
    <xf numFmtId="0" fontId="4" fillId="0" borderId="13" xfId="0" applyFont="1" applyBorder="1" applyAlignment="1" applyProtection="1">
      <alignment shrinkToFit="1"/>
      <protection hidden="1"/>
    </xf>
    <xf numFmtId="0" fontId="4" fillId="0" borderId="87" xfId="0" applyFont="1" applyBorder="1" applyAlignment="1" applyProtection="1">
      <alignment horizontal="center" vertical="center" shrinkToFit="1"/>
      <protection hidden="1"/>
    </xf>
    <xf numFmtId="0" fontId="18" fillId="0" borderId="9" xfId="20" applyFont="1" applyBorder="1" applyAlignment="1" applyProtection="1">
      <alignment horizontal="center" vertical="top" shrinkToFit="1"/>
      <protection hidden="1"/>
    </xf>
    <xf numFmtId="0" fontId="29" fillId="0" borderId="9" xfId="0" applyFont="1" applyBorder="1" applyAlignment="1" applyProtection="1">
      <alignment vertical="top" shrinkToFit="1"/>
      <protection hidden="1"/>
    </xf>
    <xf numFmtId="0" fontId="4" fillId="0" borderId="48" xfId="20" applyFont="1" applyBorder="1" applyAlignment="1" applyProtection="1">
      <alignment vertical="center" shrinkToFit="1"/>
      <protection hidden="1"/>
    </xf>
    <xf numFmtId="0" fontId="4" fillId="0" borderId="34" xfId="0" applyFont="1" applyBorder="1" applyAlignment="1" applyProtection="1">
      <alignment horizontal="center" vertical="center" shrinkToFit="1"/>
      <protection hidden="1"/>
    </xf>
    <xf numFmtId="0" fontId="4" fillId="0" borderId="0" xfId="20" applyFont="1" applyBorder="1" applyAlignment="1" applyProtection="1">
      <alignment vertical="center" shrinkToFit="1"/>
      <protection hidden="1"/>
    </xf>
    <xf numFmtId="0" fontId="4" fillId="0" borderId="83" xfId="0" applyFont="1" applyBorder="1" applyAlignment="1" applyProtection="1">
      <alignment vertical="center" shrinkToFit="1"/>
      <protection hidden="1"/>
    </xf>
    <xf numFmtId="0" fontId="4" fillId="0" borderId="81" xfId="0" applyFont="1" applyBorder="1" applyAlignment="1" applyProtection="1">
      <alignment vertical="center" shrinkToFit="1"/>
      <protection hidden="1"/>
    </xf>
    <xf numFmtId="0" fontId="4" fillId="0" borderId="82" xfId="0" applyFont="1" applyBorder="1" applyAlignment="1" applyProtection="1">
      <alignment vertical="center" shrinkToFit="1"/>
      <protection hidden="1"/>
    </xf>
    <xf numFmtId="174" fontId="4" fillId="0" borderId="8" xfId="0" applyNumberFormat="1" applyFont="1" applyBorder="1" applyAlignment="1" applyProtection="1">
      <alignment horizontal="center" vertical="center" shrinkToFit="1"/>
      <protection hidden="1"/>
    </xf>
    <xf numFmtId="0" fontId="0" fillId="0" borderId="75" xfId="0" applyFont="1" applyBorder="1" applyAlignment="1" applyProtection="1">
      <alignment shrinkToFit="1"/>
      <protection hidden="1"/>
    </xf>
    <xf numFmtId="0" fontId="4" fillId="0" borderId="37" xfId="0" applyFont="1" applyBorder="1" applyAlignment="1" applyProtection="1">
      <alignment shrinkToFit="1"/>
      <protection hidden="1"/>
    </xf>
    <xf numFmtId="2" fontId="4" fillId="3" borderId="43" xfId="20" applyNumberFormat="1" applyFont="1" applyFill="1" applyBorder="1" applyAlignment="1" applyProtection="1">
      <alignment horizontal="center" vertical="center" shrinkToFit="1"/>
      <protection locked="0"/>
    </xf>
    <xf numFmtId="0" fontId="4" fillId="3" borderId="34" xfId="20" applyNumberFormat="1" applyFont="1" applyFill="1" applyBorder="1" applyAlignment="1" applyProtection="1">
      <alignment horizontal="center" vertical="center" shrinkToFit="1"/>
      <protection locked="0"/>
    </xf>
    <xf numFmtId="185" fontId="4" fillId="3" borderId="0" xfId="20" applyNumberFormat="1" applyFont="1" applyFill="1" applyBorder="1" applyAlignment="1" applyProtection="1">
      <alignment horizontal="center" vertical="center" shrinkToFit="1"/>
      <protection locked="0"/>
    </xf>
    <xf numFmtId="185" fontId="4" fillId="0" borderId="0" xfId="0" applyNumberFormat="1" applyFont="1" applyBorder="1" applyAlignment="1" applyProtection="1">
      <alignment horizontal="center" vertical="center" shrinkToFit="1"/>
      <protection locked="0"/>
    </xf>
    <xf numFmtId="185" fontId="4" fillId="0" borderId="13" xfId="0" applyNumberFormat="1" applyFont="1" applyBorder="1" applyAlignment="1" applyProtection="1">
      <alignment horizontal="center" vertical="center" shrinkToFit="1"/>
      <protection locked="0"/>
    </xf>
    <xf numFmtId="0" fontId="4" fillId="3" borderId="48" xfId="20" applyNumberFormat="1" applyFont="1" applyFill="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73" xfId="0" applyFont="1" applyBorder="1" applyAlignment="1" applyProtection="1">
      <alignment horizontal="center" vertical="center" shrinkToFit="1"/>
      <protection locked="0"/>
    </xf>
    <xf numFmtId="0" fontId="4" fillId="0" borderId="37" xfId="0" applyFont="1" applyBorder="1" applyAlignment="1" applyProtection="1">
      <alignment vertical="center" shrinkToFit="1"/>
      <protection hidden="1"/>
    </xf>
    <xf numFmtId="0" fontId="4" fillId="0" borderId="43" xfId="0" applyFont="1" applyBorder="1" applyAlignment="1" applyProtection="1">
      <alignment horizontal="center" vertical="center" shrinkToFit="1"/>
      <protection hidden="1"/>
    </xf>
    <xf numFmtId="2" fontId="4" fillId="3" borderId="0" xfId="20" applyNumberFormat="1" applyFont="1" applyFill="1" applyBorder="1" applyAlignment="1" applyProtection="1">
      <alignment horizontal="center" vertical="center" shrinkToFit="1"/>
      <protection locked="0"/>
    </xf>
    <xf numFmtId="0" fontId="13" fillId="0" borderId="34" xfId="0" applyFont="1" applyBorder="1" applyAlignment="1" applyProtection="1">
      <alignment horizontal="center" vertical="center" shrinkToFit="1"/>
      <protection hidden="1"/>
    </xf>
    <xf numFmtId="0" fontId="18" fillId="0" borderId="22" xfId="20" applyFont="1" applyBorder="1" applyAlignment="1" applyProtection="1">
      <alignment horizontal="center" vertical="top" shrinkToFit="1"/>
      <protection hidden="1"/>
    </xf>
    <xf numFmtId="0" fontId="0" fillId="0" borderId="22" xfId="0" applyBorder="1" applyAlignment="1" applyProtection="1">
      <alignment vertical="top" shrinkToFit="1"/>
      <protection hidden="1"/>
    </xf>
    <xf numFmtId="0" fontId="4" fillId="0" borderId="0" xfId="0" applyFont="1" applyBorder="1" applyAlignment="1" applyProtection="1">
      <alignment horizontal="left" vertical="top" shrinkToFit="1"/>
      <protection hidden="1"/>
    </xf>
    <xf numFmtId="0" fontId="0" fillId="0" borderId="0" xfId="0" applyBorder="1" applyAlignment="1" applyProtection="1">
      <alignment horizontal="left" shrinkToFit="1"/>
      <protection hidden="1"/>
    </xf>
    <xf numFmtId="0" fontId="0" fillId="0" borderId="0" xfId="0" applyBorder="1" applyAlignment="1" applyProtection="1">
      <alignment shrinkToFit="1"/>
      <protection hidden="1"/>
    </xf>
    <xf numFmtId="49" fontId="4" fillId="3" borderId="43" xfId="20" applyNumberFormat="1" applyFont="1" applyFill="1" applyBorder="1" applyAlignment="1" applyProtection="1">
      <alignment horizontal="center" vertical="center" shrinkToFit="1"/>
      <protection locked="0"/>
    </xf>
    <xf numFmtId="49" fontId="4" fillId="0" borderId="0" xfId="0" applyNumberFormat="1" applyFont="1" applyBorder="1" applyAlignment="1" applyProtection="1">
      <alignment vertical="center" shrinkToFit="1"/>
      <protection locked="0"/>
    </xf>
    <xf numFmtId="49" fontId="4" fillId="0" borderId="37" xfId="0" applyNumberFormat="1" applyFont="1" applyBorder="1" applyAlignment="1" applyProtection="1">
      <alignment vertical="center" shrinkToFit="1"/>
      <protection locked="0"/>
    </xf>
    <xf numFmtId="0" fontId="4" fillId="0" borderId="8" xfId="0" applyFont="1" applyBorder="1" applyAlignment="1" applyProtection="1">
      <alignment vertical="top" shrinkToFit="1"/>
      <protection hidden="1"/>
    </xf>
    <xf numFmtId="0" fontId="4" fillId="0" borderId="60" xfId="0" applyFont="1" applyBorder="1" applyAlignment="1" applyProtection="1">
      <alignment vertical="top" shrinkToFit="1"/>
      <protection hidden="1"/>
    </xf>
    <xf numFmtId="0" fontId="14" fillId="0" borderId="0" xfId="20" applyFont="1" applyBorder="1" applyAlignment="1" applyProtection="1">
      <alignment horizontal="right" shrinkToFit="1"/>
      <protection hidden="1"/>
    </xf>
    <xf numFmtId="0" fontId="14" fillId="0" borderId="0" xfId="0" applyFont="1" applyBorder="1" applyAlignment="1" applyProtection="1">
      <alignment horizontal="right" shrinkToFit="1"/>
      <protection hidden="1"/>
    </xf>
    <xf numFmtId="49" fontId="4" fillId="3" borderId="35" xfId="20" applyNumberFormat="1" applyFont="1" applyFill="1" applyBorder="1" applyAlignment="1" applyProtection="1">
      <alignment horizontal="center" vertical="center" shrinkToFit="1"/>
      <protection locked="0"/>
    </xf>
    <xf numFmtId="49" fontId="4" fillId="0" borderId="62" xfId="0" applyNumberFormat="1" applyFont="1" applyBorder="1" applyAlignment="1" applyProtection="1">
      <alignment vertical="center" shrinkToFit="1"/>
      <protection locked="0"/>
    </xf>
    <xf numFmtId="49" fontId="4" fillId="0" borderId="36" xfId="0" applyNumberFormat="1" applyFont="1" applyBorder="1" applyAlignment="1" applyProtection="1">
      <alignment vertical="center" shrinkToFit="1"/>
      <protection locked="0"/>
    </xf>
    <xf numFmtId="2" fontId="4" fillId="0" borderId="0" xfId="20" applyNumberFormat="1" applyFont="1" applyBorder="1" applyAlignment="1" applyProtection="1">
      <alignment horizontal="center" vertical="center" shrinkToFit="1"/>
      <protection hidden="1"/>
    </xf>
    <xf numFmtId="2" fontId="4" fillId="0" borderId="37" xfId="0" applyNumberFormat="1" applyFont="1" applyBorder="1" applyAlignment="1" applyProtection="1">
      <alignment horizontal="center" vertical="center" shrinkToFit="1"/>
      <protection hidden="1"/>
    </xf>
    <xf numFmtId="0" fontId="4" fillId="0" borderId="59" xfId="20" applyFont="1" applyBorder="1" applyAlignment="1" applyProtection="1">
      <alignment horizontal="center" vertical="top" shrinkToFit="1"/>
      <protection hidden="1"/>
    </xf>
    <xf numFmtId="0" fontId="4" fillId="0" borderId="8" xfId="0" applyFont="1" applyBorder="1" applyAlignment="1" applyProtection="1">
      <alignment horizontal="center" vertical="top" shrinkToFit="1"/>
      <protection hidden="1"/>
    </xf>
    <xf numFmtId="0" fontId="18" fillId="0" borderId="22" xfId="20" applyNumberFormat="1" applyFont="1" applyFill="1" applyBorder="1" applyAlignment="1" applyProtection="1">
      <alignment horizontal="center" vertical="center" shrinkToFit="1"/>
      <protection hidden="1"/>
    </xf>
    <xf numFmtId="0" fontId="18" fillId="0" borderId="22" xfId="0" applyFont="1" applyFill="1" applyBorder="1" applyAlignment="1" applyProtection="1">
      <alignment horizontal="center" vertical="center" shrinkToFit="1"/>
      <protection hidden="1"/>
    </xf>
    <xf numFmtId="0" fontId="4" fillId="0" borderId="43" xfId="20" applyFont="1" applyBorder="1" applyAlignment="1" applyProtection="1">
      <alignment horizontal="center" vertical="center" shrinkToFit="1"/>
      <protection hidden="1"/>
    </xf>
    <xf numFmtId="0" fontId="42" fillId="0" borderId="43" xfId="0" applyFont="1" applyBorder="1" applyAlignment="1" applyProtection="1">
      <alignment horizontal="center" vertical="center" shrinkToFit="1"/>
      <protection hidden="1"/>
    </xf>
    <xf numFmtId="0" fontId="42" fillId="0" borderId="0" xfId="0" applyFont="1" applyBorder="1" applyAlignment="1" applyProtection="1">
      <alignment horizontal="center" vertical="center" shrinkToFit="1"/>
      <protection hidden="1"/>
    </xf>
    <xf numFmtId="2" fontId="4" fillId="0" borderId="62" xfId="0" applyNumberFormat="1" applyFont="1" applyBorder="1" applyAlignment="1" applyProtection="1">
      <alignment horizontal="center" vertical="center" shrinkToFit="1"/>
      <protection hidden="1"/>
    </xf>
    <xf numFmtId="0" fontId="4" fillId="0" borderId="62" xfId="0" applyFont="1" applyBorder="1" applyAlignment="1" applyProtection="1">
      <alignment vertical="center" shrinkToFit="1"/>
      <protection hidden="1"/>
    </xf>
    <xf numFmtId="2" fontId="3" fillId="0" borderId="89" xfId="0" applyNumberFormat="1" applyFont="1" applyBorder="1" applyAlignment="1" applyProtection="1">
      <alignment horizontal="center" vertical="center" shrinkToFit="1"/>
      <protection hidden="1"/>
    </xf>
    <xf numFmtId="2" fontId="3" fillId="0" borderId="63" xfId="0" applyNumberFormat="1" applyFont="1" applyBorder="1" applyAlignment="1" applyProtection="1">
      <alignment horizontal="center" vertical="center" shrinkToFit="1"/>
      <protection hidden="1"/>
    </xf>
    <xf numFmtId="2" fontId="3" fillId="0" borderId="90" xfId="0" applyNumberFormat="1" applyFont="1" applyBorder="1" applyAlignment="1" applyProtection="1">
      <alignment horizontal="center" vertical="center" shrinkToFit="1"/>
      <protection hidden="1"/>
    </xf>
    <xf numFmtId="0" fontId="3" fillId="0" borderId="0" xfId="0" applyFont="1" applyBorder="1" applyAlignment="1" applyProtection="1">
      <alignment vertical="center" shrinkToFit="1"/>
      <protection hidden="1"/>
    </xf>
    <xf numFmtId="0" fontId="49" fillId="0" borderId="9" xfId="20" applyFont="1" applyBorder="1" applyAlignment="1" applyProtection="1">
      <alignment horizontal="right" vertical="center" shrinkToFit="1"/>
      <protection hidden="1"/>
    </xf>
    <xf numFmtId="0" fontId="17" fillId="0" borderId="9" xfId="0" applyFont="1" applyBorder="1" applyAlignment="1" applyProtection="1">
      <alignment horizontal="right"/>
      <protection hidden="1"/>
    </xf>
    <xf numFmtId="0" fontId="4" fillId="0" borderId="34" xfId="20" applyFont="1" applyFill="1" applyBorder="1" applyAlignment="1" applyProtection="1">
      <alignment horizontal="left" shrinkToFit="1"/>
      <protection hidden="1"/>
    </xf>
    <xf numFmtId="0" fontId="4" fillId="0" borderId="2" xfId="0" applyFont="1" applyBorder="1" applyAlignment="1" applyProtection="1">
      <alignment shrinkToFit="1"/>
      <protection hidden="1"/>
    </xf>
    <xf numFmtId="0" fontId="13" fillId="0" borderId="0" xfId="0" applyFont="1" applyBorder="1" applyAlignment="1" applyProtection="1">
      <alignment horizontal="left" vertical="top" shrinkToFit="1"/>
      <protection hidden="1"/>
    </xf>
    <xf numFmtId="0" fontId="4" fillId="0" borderId="0" xfId="0" applyFont="1" applyBorder="1" applyAlignment="1" applyProtection="1">
      <alignment horizontal="left" vertical="top" shrinkToFit="1"/>
      <protection hidden="1"/>
    </xf>
    <xf numFmtId="0" fontId="4" fillId="0" borderId="2" xfId="0" applyFont="1" applyBorder="1" applyAlignment="1" applyProtection="1">
      <alignment horizontal="left" vertical="top" shrinkToFit="1"/>
      <protection hidden="1"/>
    </xf>
    <xf numFmtId="0" fontId="2" fillId="0" borderId="22" xfId="0" applyFont="1" applyBorder="1" applyAlignment="1" applyProtection="1">
      <alignment horizontal="center" vertical="center" shrinkToFit="1"/>
      <protection hidden="1"/>
    </xf>
    <xf numFmtId="0" fontId="2" fillId="0" borderId="14" xfId="0" applyFont="1" applyBorder="1" applyAlignment="1" applyProtection="1">
      <alignment horizontal="center" vertical="center" shrinkToFit="1"/>
      <protection hidden="1"/>
    </xf>
    <xf numFmtId="0" fontId="2" fillId="0" borderId="84" xfId="0" applyFont="1" applyFill="1" applyBorder="1" applyAlignment="1" applyProtection="1">
      <alignment horizontal="left" vertical="center" shrinkToFit="1"/>
      <protection hidden="1"/>
    </xf>
    <xf numFmtId="0" fontId="2" fillId="0" borderId="22" xfId="0" applyFont="1" applyBorder="1" applyAlignment="1" applyProtection="1">
      <alignment vertical="center" shrinkToFit="1"/>
      <protection hidden="1"/>
    </xf>
    <xf numFmtId="0" fontId="4" fillId="0" borderId="74" xfId="20" applyFont="1" applyBorder="1" applyAlignment="1" applyProtection="1">
      <alignment vertical="center" shrinkToFit="1"/>
      <protection hidden="1"/>
    </xf>
    <xf numFmtId="0" fontId="4" fillId="0" borderId="8" xfId="0" applyFont="1" applyBorder="1" applyAlignment="1" applyProtection="1">
      <alignment vertical="center" shrinkToFit="1"/>
      <protection hidden="1"/>
    </xf>
    <xf numFmtId="0" fontId="4" fillId="0" borderId="9" xfId="0" applyFont="1" applyBorder="1" applyAlignment="1" applyProtection="1">
      <alignment vertical="top" shrinkToFit="1"/>
      <protection hidden="1"/>
    </xf>
    <xf numFmtId="0" fontId="4" fillId="0" borderId="34" xfId="0" applyFont="1" applyBorder="1" applyAlignment="1" applyProtection="1">
      <alignment vertical="center" shrinkToFit="1"/>
      <protection hidden="1"/>
    </xf>
    <xf numFmtId="0" fontId="4" fillId="0" borderId="62" xfId="0" applyFont="1" applyBorder="1" applyAlignment="1" applyProtection="1">
      <alignment horizontal="left" vertical="center" shrinkToFit="1"/>
      <protection hidden="1"/>
    </xf>
    <xf numFmtId="0" fontId="4" fillId="0" borderId="61" xfId="0" applyFont="1" applyBorder="1" applyAlignment="1" applyProtection="1">
      <alignment horizontal="left" vertical="center" shrinkToFit="1"/>
      <protection hidden="1"/>
    </xf>
    <xf numFmtId="0" fontId="13" fillId="0" borderId="91" xfId="20" applyFont="1" applyBorder="1" applyAlignment="1" applyProtection="1">
      <alignment horizontal="center" vertical="center" shrinkToFit="1"/>
      <protection hidden="1"/>
    </xf>
    <xf numFmtId="0" fontId="4" fillId="0" borderId="62" xfId="0" applyFont="1" applyBorder="1" applyAlignment="1" applyProtection="1">
      <alignment horizontal="center" vertical="center" shrinkToFit="1"/>
      <protection hidden="1"/>
    </xf>
    <xf numFmtId="0" fontId="4" fillId="0" borderId="74" xfId="0" applyFont="1" applyBorder="1" applyAlignment="1" applyProtection="1">
      <alignment horizontal="center" vertical="top" shrinkToFit="1"/>
      <protection hidden="1"/>
    </xf>
    <xf numFmtId="0" fontId="14" fillId="0" borderId="0" xfId="0" applyFont="1" applyBorder="1" applyAlignment="1" applyProtection="1">
      <alignment vertical="center" shrinkToFit="1"/>
      <protection hidden="1"/>
    </xf>
    <xf numFmtId="0" fontId="4" fillId="0" borderId="74" xfId="0" applyFont="1" applyFill="1" applyBorder="1" applyAlignment="1" applyProtection="1">
      <alignment horizontal="center" vertical="center" shrinkToFit="1"/>
      <protection hidden="1"/>
    </xf>
    <xf numFmtId="0" fontId="13" fillId="0" borderId="48" xfId="0" applyFont="1" applyBorder="1" applyAlignment="1" applyProtection="1">
      <alignment horizontal="center" vertical="center" shrinkToFit="1"/>
      <protection hidden="1"/>
    </xf>
    <xf numFmtId="0" fontId="4" fillId="0" borderId="0" xfId="0" applyFont="1" applyFill="1" applyBorder="1" applyAlignment="1" applyProtection="1">
      <alignment vertical="center" shrinkToFit="1"/>
      <protection hidden="1"/>
    </xf>
    <xf numFmtId="0" fontId="4" fillId="0" borderId="0" xfId="0" applyFont="1" applyFill="1" applyBorder="1" applyAlignment="1" applyProtection="1">
      <alignment horizontal="center" vertical="center" shrinkToFit="1"/>
      <protection hidden="1"/>
    </xf>
    <xf numFmtId="0" fontId="2" fillId="0" borderId="92" xfId="20" applyFont="1" applyBorder="1" applyAlignment="1" applyProtection="1">
      <alignment horizontal="center" vertical="center" shrinkToFit="1"/>
      <protection hidden="1"/>
    </xf>
    <xf numFmtId="0" fontId="0" fillId="0" borderId="93" xfId="0" applyBorder="1" applyAlignment="1" applyProtection="1">
      <alignment horizontal="center" vertical="center" shrinkToFit="1"/>
      <protection hidden="1"/>
    </xf>
    <xf numFmtId="173" fontId="4" fillId="0" borderId="0" xfId="0" applyNumberFormat="1" applyFont="1" applyBorder="1" applyAlignment="1" applyProtection="1">
      <alignment horizontal="center" vertical="center" shrinkToFit="1"/>
      <protection hidden="1"/>
    </xf>
    <xf numFmtId="173" fontId="4" fillId="0" borderId="37" xfId="0" applyNumberFormat="1" applyFont="1" applyBorder="1" applyAlignment="1" applyProtection="1">
      <alignment horizontal="center" vertical="center" shrinkToFit="1"/>
      <protection hidden="1"/>
    </xf>
    <xf numFmtId="0" fontId="4" fillId="0" borderId="48" xfId="0" applyFont="1" applyBorder="1" applyAlignment="1" applyProtection="1">
      <alignment horizontal="center" vertical="center" shrinkToFit="1"/>
      <protection hidden="1"/>
    </xf>
    <xf numFmtId="173" fontId="13" fillId="0" borderId="0" xfId="0" applyNumberFormat="1" applyFont="1" applyBorder="1" applyAlignment="1" applyProtection="1">
      <alignment horizontal="center" vertical="center" shrinkToFit="1"/>
      <protection hidden="1"/>
    </xf>
    <xf numFmtId="173" fontId="13" fillId="0" borderId="37" xfId="0" applyNumberFormat="1" applyFont="1" applyBorder="1" applyAlignment="1" applyProtection="1">
      <alignment horizontal="center" vertical="center" shrinkToFit="1"/>
      <protection hidden="1"/>
    </xf>
    <xf numFmtId="0" fontId="4" fillId="0" borderId="49" xfId="0" applyFont="1" applyBorder="1" applyAlignment="1" applyProtection="1">
      <alignment vertical="center" shrinkToFit="1"/>
      <protection hidden="1"/>
    </xf>
    <xf numFmtId="0" fontId="61" fillId="0" borderId="0" xfId="0" applyFont="1" applyBorder="1" applyAlignment="1" applyProtection="1">
      <alignment horizontal="center" vertical="center" shrinkToFit="1"/>
      <protection hidden="1"/>
    </xf>
    <xf numFmtId="0" fontId="56" fillId="0" borderId="0" xfId="0" applyFont="1" applyBorder="1" applyAlignment="1" applyProtection="1">
      <alignment horizontal="center" vertical="center" shrinkToFit="1"/>
      <protection hidden="1"/>
    </xf>
    <xf numFmtId="0" fontId="4" fillId="0" borderId="43" xfId="20" applyNumberFormat="1" applyFont="1" applyFill="1" applyBorder="1" applyAlignment="1" applyProtection="1">
      <alignment horizontal="center" vertical="center" shrinkToFit="1"/>
      <protection hidden="1"/>
    </xf>
    <xf numFmtId="49" fontId="4" fillId="3" borderId="94" xfId="20" applyNumberFormat="1" applyFont="1" applyFill="1" applyBorder="1" applyAlignment="1" applyProtection="1">
      <alignment horizontal="left" vertical="center" shrinkToFit="1"/>
      <protection locked="0"/>
    </xf>
    <xf numFmtId="49" fontId="0" fillId="0" borderId="95" xfId="0" applyNumberFormat="1" applyBorder="1" applyAlignment="1" applyProtection="1">
      <alignment vertical="center" shrinkToFit="1"/>
      <protection locked="0"/>
    </xf>
    <xf numFmtId="0" fontId="4" fillId="0" borderId="43" xfId="20" applyFont="1" applyFill="1" applyBorder="1" applyAlignment="1" applyProtection="1">
      <alignment vertical="center" shrinkToFit="1"/>
      <protection hidden="1"/>
    </xf>
    <xf numFmtId="0" fontId="18" fillId="0" borderId="96" xfId="20" applyFont="1" applyBorder="1" applyAlignment="1" applyProtection="1">
      <alignment vertical="center" shrinkToFit="1"/>
      <protection hidden="1"/>
    </xf>
    <xf numFmtId="0" fontId="16" fillId="0" borderId="96" xfId="0" applyFont="1" applyBorder="1" applyAlignment="1" applyProtection="1">
      <alignment vertical="center" shrinkToFit="1"/>
      <protection hidden="1"/>
    </xf>
    <xf numFmtId="0" fontId="16" fillId="0" borderId="97" xfId="0" applyFont="1" applyBorder="1" applyAlignment="1" applyProtection="1">
      <alignment vertical="center" shrinkToFit="1"/>
      <protection hidden="1"/>
    </xf>
    <xf numFmtId="0" fontId="4" fillId="0" borderId="98" xfId="20" applyFont="1" applyFill="1" applyBorder="1" applyAlignment="1" applyProtection="1">
      <alignment vertical="center" shrinkToFit="1"/>
      <protection hidden="1"/>
    </xf>
    <xf numFmtId="0" fontId="4" fillId="0" borderId="6" xfId="0" applyFont="1" applyBorder="1" applyAlignment="1" applyProtection="1">
      <alignment vertical="center" shrinkToFit="1"/>
      <protection hidden="1"/>
    </xf>
    <xf numFmtId="0" fontId="4" fillId="0" borderId="99" xfId="0" applyFont="1" applyBorder="1" applyAlignment="1" applyProtection="1">
      <alignment vertical="center" shrinkToFit="1"/>
      <protection hidden="1"/>
    </xf>
    <xf numFmtId="0" fontId="14" fillId="0" borderId="95" xfId="20" applyFont="1" applyBorder="1" applyAlignment="1" applyProtection="1">
      <alignment vertical="center" shrinkToFit="1"/>
      <protection hidden="1"/>
    </xf>
    <xf numFmtId="0" fontId="14" fillId="0" borderId="100" xfId="0" applyFont="1" applyBorder="1" applyAlignment="1" applyProtection="1">
      <alignment vertical="center" shrinkToFit="1"/>
      <protection hidden="1"/>
    </xf>
    <xf numFmtId="0" fontId="4" fillId="0" borderId="9" xfId="0" applyFont="1" applyBorder="1" applyAlignment="1" applyProtection="1">
      <alignment shrinkToFit="1"/>
      <protection hidden="1"/>
    </xf>
    <xf numFmtId="0" fontId="4" fillId="0" borderId="49" xfId="0" applyFont="1" applyBorder="1" applyAlignment="1" applyProtection="1">
      <alignment shrinkToFit="1"/>
      <protection hidden="1"/>
    </xf>
    <xf numFmtId="0" fontId="18" fillId="0" borderId="34" xfId="0" applyFont="1" applyBorder="1" applyAlignment="1" applyProtection="1">
      <alignment horizontal="center" vertical="top" shrinkToFit="1"/>
      <protection hidden="1"/>
    </xf>
    <xf numFmtId="0" fontId="29" fillId="0" borderId="0" xfId="0" applyFont="1" applyBorder="1" applyAlignment="1" applyProtection="1">
      <alignment shrinkToFit="1"/>
      <protection hidden="1"/>
    </xf>
    <xf numFmtId="0" fontId="24" fillId="0" borderId="84" xfId="0" applyFont="1" applyBorder="1" applyAlignment="1" applyProtection="1">
      <alignment vertical="center" shrinkToFit="1"/>
      <protection hidden="1"/>
    </xf>
    <xf numFmtId="0" fontId="25" fillId="0" borderId="22" xfId="0" applyFont="1" applyBorder="1" applyAlignment="1" applyProtection="1">
      <alignment vertical="center" shrinkToFit="1"/>
      <protection hidden="1"/>
    </xf>
    <xf numFmtId="0" fontId="13" fillId="0" borderId="0" xfId="20" applyFont="1" applyBorder="1" applyAlignment="1" applyProtection="1">
      <alignment horizontal="center" vertical="center" shrinkToFit="1"/>
      <protection hidden="1"/>
    </xf>
    <xf numFmtId="0" fontId="4" fillId="0" borderId="8" xfId="20" applyFont="1" applyBorder="1" applyAlignment="1" applyProtection="1">
      <alignment horizontal="center" vertical="center" shrinkToFit="1"/>
      <protection hidden="1"/>
    </xf>
    <xf numFmtId="0" fontId="14" fillId="0" borderId="8" xfId="0" applyFont="1" applyBorder="1" applyAlignment="1" applyProtection="1">
      <alignment vertical="top" shrinkToFit="1"/>
      <protection hidden="1"/>
    </xf>
    <xf numFmtId="0" fontId="50" fillId="0" borderId="28" xfId="20" applyFont="1" applyBorder="1" applyAlignment="1" applyProtection="1">
      <alignment horizontal="right" vertical="top" shrinkToFit="1"/>
      <protection hidden="1"/>
    </xf>
    <xf numFmtId="0" fontId="50" fillId="0" borderId="28" xfId="0" applyFont="1" applyBorder="1" applyAlignment="1" applyProtection="1">
      <alignment horizontal="right" vertical="top" shrinkToFit="1"/>
      <protection hidden="1"/>
    </xf>
    <xf numFmtId="0" fontId="4" fillId="0" borderId="8" xfId="20" applyFont="1" applyBorder="1" applyAlignment="1" applyProtection="1">
      <alignment horizontal="left" vertical="center" shrinkToFit="1"/>
      <protection hidden="1"/>
    </xf>
    <xf numFmtId="0" fontId="4" fillId="0" borderId="75" xfId="0" applyFont="1" applyBorder="1" applyAlignment="1" applyProtection="1">
      <alignment/>
      <protection hidden="1"/>
    </xf>
    <xf numFmtId="0" fontId="4" fillId="0" borderId="9" xfId="0" applyFont="1" applyBorder="1" applyAlignment="1" applyProtection="1">
      <alignment horizontal="left" vertical="center" shrinkToFit="1"/>
      <protection hidden="1"/>
    </xf>
    <xf numFmtId="0" fontId="4" fillId="0" borderId="73" xfId="0" applyFont="1" applyBorder="1" applyAlignment="1" applyProtection="1">
      <alignment horizontal="left"/>
      <protection hidden="1"/>
    </xf>
    <xf numFmtId="0" fontId="49" fillId="0" borderId="87" xfId="0" applyFont="1" applyBorder="1" applyAlignment="1" applyProtection="1">
      <alignment vertical="center" shrinkToFit="1"/>
      <protection hidden="1"/>
    </xf>
    <xf numFmtId="0" fontId="0" fillId="0" borderId="46" xfId="0" applyBorder="1" applyAlignment="1" applyProtection="1">
      <alignment vertical="center" shrinkToFit="1"/>
      <protection hidden="1"/>
    </xf>
    <xf numFmtId="0" fontId="0" fillId="0" borderId="17" xfId="0" applyBorder="1" applyAlignment="1" applyProtection="1">
      <alignment vertical="center" shrinkToFit="1"/>
      <protection hidden="1"/>
    </xf>
    <xf numFmtId="0" fontId="4" fillId="0" borderId="87" xfId="20" applyBorder="1" applyAlignment="1" applyProtection="1">
      <alignment horizontal="center" shrinkToFit="1"/>
      <protection hidden="1"/>
    </xf>
    <xf numFmtId="0" fontId="0" fillId="0" borderId="47" xfId="0" applyBorder="1" applyAlignment="1" applyProtection="1">
      <alignment horizontal="center" shrinkToFit="1"/>
      <protection hidden="1"/>
    </xf>
    <xf numFmtId="0" fontId="4" fillId="0" borderId="11" xfId="20" applyFont="1" applyBorder="1" applyAlignment="1" applyProtection="1">
      <alignment horizontal="center" vertical="center" shrinkToFit="1"/>
      <protection hidden="1"/>
    </xf>
    <xf numFmtId="0" fontId="4" fillId="0" borderId="11" xfId="0" applyFont="1" applyBorder="1" applyAlignment="1" applyProtection="1">
      <alignment vertical="center" shrinkToFit="1"/>
      <protection hidden="1"/>
    </xf>
    <xf numFmtId="0" fontId="4" fillId="0" borderId="0" xfId="20" applyFont="1" applyBorder="1" applyAlignment="1" applyProtection="1">
      <alignment horizontal="center" vertical="center" shrinkToFit="1"/>
      <protection hidden="1"/>
    </xf>
    <xf numFmtId="0" fontId="4" fillId="0" borderId="0" xfId="0" applyFont="1" applyBorder="1" applyAlignment="1" applyProtection="1">
      <alignment horizontal="left" vertical="center" shrinkToFit="1"/>
      <protection hidden="1"/>
    </xf>
    <xf numFmtId="174" fontId="4" fillId="0" borderId="34" xfId="20" applyNumberFormat="1" applyFont="1" applyFill="1" applyBorder="1" applyAlignment="1" applyProtection="1">
      <alignment horizontal="center" vertical="center" shrinkToFit="1"/>
      <protection hidden="1"/>
    </xf>
    <xf numFmtId="0" fontId="4" fillId="0" borderId="0" xfId="0" applyFont="1" applyFill="1" applyBorder="1" applyAlignment="1" applyProtection="1">
      <alignment horizontal="center" vertical="center" shrinkToFit="1"/>
      <protection hidden="1"/>
    </xf>
    <xf numFmtId="0" fontId="4" fillId="0" borderId="13" xfId="0" applyFont="1" applyFill="1" applyBorder="1" applyAlignment="1" applyProtection="1">
      <alignment horizontal="center" vertical="center" shrinkToFit="1"/>
      <protection hidden="1"/>
    </xf>
    <xf numFmtId="0" fontId="0" fillId="0" borderId="0" xfId="0" applyFont="1" applyBorder="1" applyAlignment="1" applyProtection="1">
      <alignment horizontal="center" vertical="center" shrinkToFit="1"/>
      <protection hidden="1"/>
    </xf>
    <xf numFmtId="3" fontId="4" fillId="0" borderId="34" xfId="20" applyNumberFormat="1" applyFont="1" applyBorder="1" applyAlignment="1" applyProtection="1">
      <alignment horizontal="center" vertical="center" shrinkToFit="1"/>
      <protection hidden="1"/>
    </xf>
    <xf numFmtId="183" fontId="4" fillId="0" borderId="9" xfId="20" applyNumberFormat="1" applyFont="1" applyBorder="1" applyAlignment="1" applyProtection="1">
      <alignment horizontal="center" vertical="center" shrinkToFit="1"/>
      <protection hidden="1"/>
    </xf>
    <xf numFmtId="183" fontId="4" fillId="0" borderId="48" xfId="20" applyNumberFormat="1" applyFont="1" applyBorder="1" applyAlignment="1" applyProtection="1">
      <alignment horizontal="center" vertical="center" shrinkToFit="1"/>
      <protection hidden="1"/>
    </xf>
    <xf numFmtId="174" fontId="3" fillId="0" borderId="74" xfId="20" applyNumberFormat="1"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75" xfId="0" applyFont="1" applyBorder="1" applyAlignment="1" applyProtection="1">
      <alignment horizontal="center" vertical="center" shrinkToFit="1"/>
      <protection hidden="1"/>
    </xf>
    <xf numFmtId="0" fontId="2" fillId="0" borderId="34" xfId="20" applyFont="1" applyBorder="1" applyAlignment="1" applyProtection="1">
      <alignment shrinkToFit="1"/>
      <protection hidden="1"/>
    </xf>
    <xf numFmtId="0" fontId="17" fillId="0" borderId="0" xfId="0" applyFont="1" applyBorder="1" applyAlignment="1" applyProtection="1">
      <alignment shrinkToFit="1"/>
      <protection hidden="1"/>
    </xf>
    <xf numFmtId="0" fontId="2" fillId="0" borderId="101" xfId="20" applyFont="1" applyBorder="1" applyAlignment="1" applyProtection="1">
      <alignment horizontal="center" vertical="center" shrinkToFit="1"/>
      <protection hidden="1"/>
    </xf>
    <xf numFmtId="0" fontId="0" fillId="0" borderId="102" xfId="0" applyBorder="1" applyAlignment="1" applyProtection="1">
      <alignment horizontal="center" vertical="center" shrinkToFit="1"/>
      <protection hidden="1"/>
    </xf>
    <xf numFmtId="0" fontId="2" fillId="0" borderId="84" xfId="20" applyFont="1" applyBorder="1" applyAlignment="1" applyProtection="1">
      <alignment vertical="center" shrinkToFit="1"/>
      <protection hidden="1"/>
    </xf>
    <xf numFmtId="0" fontId="17" fillId="0" borderId="22" xfId="0" applyFont="1" applyBorder="1" applyAlignment="1" applyProtection="1">
      <alignment vertical="center" shrinkToFit="1"/>
      <protection hidden="1"/>
    </xf>
    <xf numFmtId="0" fontId="0" fillId="0" borderId="22" xfId="0" applyBorder="1" applyAlignment="1" applyProtection="1">
      <alignment shrinkToFit="1"/>
      <protection hidden="1"/>
    </xf>
    <xf numFmtId="0" fontId="4" fillId="0" borderId="37" xfId="0" applyNumberFormat="1" applyFont="1" applyBorder="1" applyAlignment="1" applyProtection="1">
      <alignment horizontal="center" vertical="center" shrinkToFit="1"/>
      <protection hidden="1"/>
    </xf>
    <xf numFmtId="174" fontId="4" fillId="0" borderId="89" xfId="20" applyNumberFormat="1" applyFont="1" applyBorder="1" applyAlignment="1" applyProtection="1">
      <alignment horizontal="center" vertical="center" shrinkToFit="1"/>
      <protection hidden="1"/>
    </xf>
    <xf numFmtId="0" fontId="4" fillId="0" borderId="63" xfId="0" applyFont="1" applyBorder="1" applyAlignment="1" applyProtection="1">
      <alignment horizontal="center" vertical="center" shrinkToFit="1"/>
      <protection hidden="1"/>
    </xf>
    <xf numFmtId="0" fontId="4" fillId="0" borderId="90" xfId="0" applyFont="1" applyBorder="1" applyAlignment="1" applyProtection="1">
      <alignment horizontal="center" vertical="center" shrinkToFit="1"/>
      <protection hidden="1"/>
    </xf>
    <xf numFmtId="180" fontId="4" fillId="0" borderId="35" xfId="20" applyNumberFormat="1" applyFont="1" applyBorder="1" applyAlignment="1" applyProtection="1">
      <alignment horizontal="center" vertical="center" shrinkToFit="1"/>
      <protection hidden="1"/>
    </xf>
    <xf numFmtId="0" fontId="4" fillId="0" borderId="62" xfId="0" applyFont="1" applyBorder="1" applyAlignment="1" applyProtection="1">
      <alignment horizontal="center" vertical="center" shrinkToFit="1"/>
      <protection hidden="1"/>
    </xf>
    <xf numFmtId="0" fontId="4" fillId="0" borderId="36" xfId="0" applyFont="1" applyBorder="1" applyAlignment="1" applyProtection="1">
      <alignment horizontal="center" vertical="center" shrinkToFit="1"/>
      <protection hidden="1"/>
    </xf>
    <xf numFmtId="174" fontId="4" fillId="0" borderId="43" xfId="20" applyNumberFormat="1" applyFont="1" applyBorder="1" applyAlignment="1" applyProtection="1">
      <alignment horizontal="center" vertical="center" shrinkToFit="1"/>
      <protection hidden="1"/>
    </xf>
    <xf numFmtId="174" fontId="4" fillId="0" borderId="59" xfId="20" applyNumberFormat="1" applyFont="1" applyBorder="1" applyAlignment="1" applyProtection="1">
      <alignment horizontal="center" vertical="center" shrinkToFit="1"/>
      <protection hidden="1"/>
    </xf>
    <xf numFmtId="0" fontId="4" fillId="0" borderId="8" xfId="0" applyFont="1" applyBorder="1" applyAlignment="1" applyProtection="1">
      <alignment horizontal="center" vertical="center" shrinkToFit="1"/>
      <protection hidden="1"/>
    </xf>
    <xf numFmtId="3" fontId="4" fillId="0" borderId="0" xfId="20" applyNumberFormat="1" applyFont="1" applyBorder="1" applyAlignment="1" applyProtection="1">
      <alignment horizontal="center" vertical="center" shrinkToFit="1"/>
      <protection hidden="1"/>
    </xf>
    <xf numFmtId="3" fontId="4" fillId="0" borderId="0" xfId="0" applyNumberFormat="1" applyFont="1" applyBorder="1" applyAlignment="1" applyProtection="1">
      <alignment vertical="center" shrinkToFit="1"/>
      <protection hidden="1"/>
    </xf>
    <xf numFmtId="0" fontId="2" fillId="0" borderId="103" xfId="20" applyFont="1" applyBorder="1" applyAlignment="1" applyProtection="1">
      <alignment horizontal="center" vertical="center" shrinkToFit="1"/>
      <protection hidden="1"/>
    </xf>
    <xf numFmtId="0" fontId="0" fillId="0" borderId="15" xfId="0" applyBorder="1" applyAlignment="1" applyProtection="1">
      <alignment horizontal="center" vertical="center" shrinkToFit="1"/>
      <protection hidden="1"/>
    </xf>
    <xf numFmtId="0" fontId="2" fillId="0" borderId="52" xfId="0" applyFont="1" applyBorder="1" applyAlignment="1" applyProtection="1">
      <alignment vertical="center" shrinkToFit="1"/>
      <protection hidden="1"/>
    </xf>
    <xf numFmtId="0" fontId="0" fillId="0" borderId="52" xfId="0" applyBorder="1" applyAlignment="1" applyProtection="1">
      <alignment vertical="center" shrinkToFit="1"/>
      <protection hidden="1"/>
    </xf>
    <xf numFmtId="0" fontId="2" fillId="0" borderId="22" xfId="0" applyFont="1" applyBorder="1" applyAlignment="1" applyProtection="1">
      <alignment horizontal="left" vertical="center" shrinkToFit="1"/>
      <protection hidden="1"/>
    </xf>
    <xf numFmtId="1" fontId="4" fillId="3" borderId="43" xfId="20" applyNumberFormat="1" applyFont="1" applyFill="1" applyBorder="1" applyAlignment="1" applyProtection="1">
      <alignment horizontal="center" vertical="center" shrinkToFit="1"/>
      <protection locked="0"/>
    </xf>
    <xf numFmtId="1" fontId="4" fillId="0" borderId="0" xfId="0" applyNumberFormat="1" applyFont="1" applyBorder="1" applyAlignment="1" applyProtection="1">
      <alignment vertical="center" shrinkToFit="1"/>
      <protection locked="0"/>
    </xf>
    <xf numFmtId="1" fontId="4" fillId="0" borderId="37" xfId="0" applyNumberFormat="1" applyFont="1" applyBorder="1" applyAlignment="1" applyProtection="1">
      <alignment vertical="center" shrinkToFit="1"/>
      <protection locked="0"/>
    </xf>
    <xf numFmtId="0" fontId="18" fillId="0" borderId="0" xfId="20" applyFont="1" applyBorder="1" applyAlignment="1" applyProtection="1">
      <alignment horizontal="center" vertical="top" shrinkToFit="1"/>
      <protection hidden="1"/>
    </xf>
    <xf numFmtId="0" fontId="18" fillId="0" borderId="0" xfId="0" applyFont="1" applyBorder="1" applyAlignment="1" applyProtection="1">
      <alignment horizontal="center" vertical="top" shrinkToFit="1"/>
      <protection hidden="1"/>
    </xf>
    <xf numFmtId="3" fontId="4" fillId="3" borderId="74" xfId="20" applyNumberFormat="1" applyFont="1" applyFill="1" applyBorder="1" applyAlignment="1" applyProtection="1">
      <alignment horizontal="center" vertical="center" shrinkToFit="1"/>
      <protection locked="0"/>
    </xf>
    <xf numFmtId="3" fontId="4" fillId="0" borderId="8" xfId="0" applyNumberFormat="1" applyFont="1" applyBorder="1" applyAlignment="1" applyProtection="1">
      <alignment vertical="center" shrinkToFit="1"/>
      <protection locked="0"/>
    </xf>
    <xf numFmtId="3" fontId="4" fillId="0" borderId="75" xfId="0" applyNumberFormat="1" applyFont="1" applyBorder="1" applyAlignment="1" applyProtection="1">
      <alignment vertical="center" shrinkToFit="1"/>
      <protection locked="0"/>
    </xf>
    <xf numFmtId="0" fontId="4" fillId="0" borderId="0" xfId="20" applyFont="1" applyFill="1" applyBorder="1" applyAlignment="1" applyProtection="1">
      <alignment horizontal="left" shrinkToFit="1"/>
      <protection hidden="1"/>
    </xf>
    <xf numFmtId="0" fontId="13" fillId="0" borderId="43" xfId="20" applyFont="1" applyBorder="1" applyAlignment="1" applyProtection="1">
      <alignment horizontal="center" vertical="center" shrinkToFit="1"/>
      <protection hidden="1"/>
    </xf>
    <xf numFmtId="0" fontId="4" fillId="0" borderId="2" xfId="0" applyFont="1" applyBorder="1" applyAlignment="1" applyProtection="1">
      <alignment horizontal="center" vertical="center" shrinkToFit="1"/>
      <protection hidden="1"/>
    </xf>
    <xf numFmtId="0" fontId="7" fillId="0" borderId="34" xfId="20" applyFont="1" applyBorder="1" applyAlignment="1" applyProtection="1">
      <alignment horizontal="center" shrinkToFit="1"/>
      <protection hidden="1"/>
    </xf>
    <xf numFmtId="0" fontId="7" fillId="0" borderId="2" xfId="0" applyFont="1" applyBorder="1" applyAlignment="1" applyProtection="1">
      <alignment horizontal="center" shrinkToFit="1"/>
      <protection hidden="1"/>
    </xf>
    <xf numFmtId="0" fontId="7" fillId="0" borderId="34" xfId="20" applyFont="1" applyBorder="1" applyAlignment="1" applyProtection="1">
      <alignment horizontal="center" vertical="center" shrinkToFit="1"/>
      <protection hidden="1"/>
    </xf>
    <xf numFmtId="0" fontId="7" fillId="0" borderId="2" xfId="0" applyFont="1" applyBorder="1" applyAlignment="1" applyProtection="1">
      <alignment horizontal="center" vertical="center" shrinkToFit="1"/>
      <protection hidden="1"/>
    </xf>
    <xf numFmtId="0" fontId="4" fillId="0" borderId="59" xfId="20" applyNumberFormat="1" applyFont="1" applyFill="1" applyBorder="1" applyAlignment="1" applyProtection="1">
      <alignment horizontal="center" vertical="center" shrinkToFit="1"/>
      <protection hidden="1"/>
    </xf>
    <xf numFmtId="0" fontId="4" fillId="0" borderId="8" xfId="0" applyNumberFormat="1" applyFont="1" applyBorder="1" applyAlignment="1" applyProtection="1">
      <alignment horizontal="center" vertical="center" shrinkToFit="1"/>
      <protection hidden="1"/>
    </xf>
    <xf numFmtId="0" fontId="4" fillId="0" borderId="60" xfId="0" applyFont="1" applyBorder="1" applyAlignment="1" applyProtection="1">
      <alignment horizontal="center" vertical="center" shrinkToFit="1"/>
      <protection hidden="1"/>
    </xf>
    <xf numFmtId="0" fontId="18" fillId="0" borderId="34" xfId="0" applyFont="1" applyBorder="1" applyAlignment="1" applyProtection="1">
      <alignment horizontal="center" vertical="center"/>
      <protection hidden="1"/>
    </xf>
    <xf numFmtId="0" fontId="29" fillId="0" borderId="13" xfId="0" applyFont="1" applyBorder="1" applyAlignment="1" applyProtection="1">
      <alignment horizontal="center" vertical="center"/>
      <protection hidden="1"/>
    </xf>
    <xf numFmtId="0" fontId="42" fillId="0" borderId="43" xfId="20" applyFont="1" applyBorder="1" applyAlignment="1" applyProtection="1">
      <alignment horizontal="center" vertical="center" shrinkToFit="1"/>
      <protection hidden="1"/>
    </xf>
    <xf numFmtId="0" fontId="13" fillId="0" borderId="50" xfId="20" applyFont="1" applyBorder="1" applyAlignment="1" applyProtection="1">
      <alignment horizontal="center" shrinkToFit="1"/>
      <protection hidden="1"/>
    </xf>
    <xf numFmtId="0" fontId="4" fillId="0" borderId="73" xfId="0" applyFont="1" applyBorder="1" applyAlignment="1" applyProtection="1">
      <alignment horizontal="center" shrinkToFit="1"/>
      <protection hidden="1"/>
    </xf>
    <xf numFmtId="0" fontId="4" fillId="0" borderId="50" xfId="0" applyFont="1" applyBorder="1" applyAlignment="1" applyProtection="1">
      <alignment horizontal="center" shrinkToFit="1"/>
      <protection hidden="1"/>
    </xf>
    <xf numFmtId="0" fontId="22" fillId="0" borderId="43" xfId="20" applyFont="1" applyBorder="1" applyAlignment="1" applyProtection="1">
      <alignment horizontal="center" vertical="center" shrinkToFit="1"/>
      <protection hidden="1"/>
    </xf>
    <xf numFmtId="0" fontId="8" fillId="0" borderId="37" xfId="0" applyFont="1" applyBorder="1" applyAlignment="1" applyProtection="1">
      <alignment horizontal="center" vertical="center" shrinkToFit="1"/>
      <protection hidden="1"/>
    </xf>
    <xf numFmtId="0" fontId="4" fillId="3" borderId="104" xfId="20" applyFont="1" applyFill="1" applyBorder="1" applyAlignment="1" applyProtection="1">
      <alignment horizontal="center" vertical="center" shrinkToFit="1"/>
      <protection locked="0"/>
    </xf>
    <xf numFmtId="0" fontId="4" fillId="3" borderId="105" xfId="20" applyFont="1" applyFill="1" applyBorder="1" applyAlignment="1" applyProtection="1">
      <alignment horizontal="center" vertical="center" shrinkToFit="1"/>
      <protection locked="0"/>
    </xf>
    <xf numFmtId="0" fontId="4" fillId="3" borderId="106" xfId="20" applyFont="1" applyFill="1" applyBorder="1" applyAlignment="1" applyProtection="1">
      <alignment horizontal="center" vertical="center" shrinkToFit="1"/>
      <protection locked="0"/>
    </xf>
    <xf numFmtId="0" fontId="11" fillId="0" borderId="24" xfId="20" applyFont="1" applyBorder="1" applyAlignment="1" applyProtection="1">
      <alignment vertical="top" shrinkToFit="1"/>
      <protection hidden="1"/>
    </xf>
    <xf numFmtId="0" fontId="0" fillId="0" borderId="24" xfId="0" applyBorder="1" applyAlignment="1" applyProtection="1">
      <alignment vertical="top" shrinkToFit="1"/>
      <protection hidden="1"/>
    </xf>
    <xf numFmtId="0" fontId="4" fillId="3" borderId="87" xfId="20" applyFont="1" applyFill="1" applyBorder="1" applyAlignment="1" applyProtection="1">
      <alignment horizontal="left" vertical="center" shrinkToFit="1"/>
      <protection locked="0"/>
    </xf>
    <xf numFmtId="0" fontId="4" fillId="0" borderId="4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4" fillId="3" borderId="54" xfId="20" applyFont="1" applyFill="1" applyBorder="1" applyAlignment="1" applyProtection="1">
      <alignment horizontal="left" vertical="center" shrinkToFit="1"/>
      <protection locked="0"/>
    </xf>
    <xf numFmtId="0" fontId="4" fillId="0" borderId="52" xfId="0" applyFont="1" applyBorder="1" applyAlignment="1" applyProtection="1">
      <alignment horizontal="left" vertical="center" shrinkToFit="1"/>
      <protection locked="0"/>
    </xf>
    <xf numFmtId="0" fontId="4" fillId="0" borderId="79" xfId="0" applyFont="1" applyBorder="1" applyAlignment="1" applyProtection="1">
      <alignment horizontal="left" vertical="center" shrinkToFit="1"/>
      <protection locked="0"/>
    </xf>
    <xf numFmtId="0" fontId="4" fillId="0" borderId="107" xfId="0" applyFont="1" applyBorder="1" applyAlignment="1" applyProtection="1">
      <alignment horizontal="center" vertical="center" shrinkToFit="1"/>
      <protection locked="0"/>
    </xf>
    <xf numFmtId="14" fontId="4" fillId="0" borderId="104" xfId="20" applyNumberFormat="1" applyFont="1" applyBorder="1" applyAlignment="1" applyProtection="1">
      <alignment horizontal="center" vertical="center" shrinkToFit="1"/>
      <protection hidden="1"/>
    </xf>
    <xf numFmtId="0" fontId="4" fillId="0" borderId="105" xfId="0" applyFont="1" applyBorder="1" applyAlignment="1" applyProtection="1">
      <alignment horizontal="center" vertical="center" shrinkToFit="1"/>
      <protection hidden="1"/>
    </xf>
    <xf numFmtId="0" fontId="4" fillId="0" borderId="106" xfId="0" applyFont="1" applyBorder="1" applyAlignment="1" applyProtection="1">
      <alignment horizontal="center" vertical="center" shrinkToFit="1"/>
      <protection hidden="1"/>
    </xf>
    <xf numFmtId="0" fontId="4" fillId="0" borderId="104" xfId="20" applyFont="1" applyBorder="1" applyAlignment="1" applyProtection="1">
      <alignment horizontal="center" vertical="center" shrinkToFit="1"/>
      <protection hidden="1"/>
    </xf>
    <xf numFmtId="0" fontId="4" fillId="0" borderId="87" xfId="20" applyFont="1" applyBorder="1" applyAlignment="1" applyProtection="1">
      <alignment horizontal="center" vertical="top" shrinkToFit="1"/>
      <protection hidden="1"/>
    </xf>
    <xf numFmtId="0" fontId="4" fillId="0" borderId="46" xfId="0" applyFont="1" applyBorder="1" applyAlignment="1" applyProtection="1">
      <alignment horizontal="center" vertical="top" shrinkToFit="1"/>
      <protection hidden="1"/>
    </xf>
    <xf numFmtId="0" fontId="4" fillId="0" borderId="47" xfId="0" applyFont="1" applyBorder="1" applyAlignment="1" applyProtection="1">
      <alignment horizontal="center" vertical="top" shrinkToFit="1"/>
      <protection hidden="1"/>
    </xf>
    <xf numFmtId="0" fontId="4" fillId="0" borderId="54" xfId="0" applyFont="1" applyBorder="1" applyAlignment="1" applyProtection="1">
      <alignment horizontal="center" vertical="top" shrinkToFit="1"/>
      <protection hidden="1"/>
    </xf>
    <xf numFmtId="0" fontId="4" fillId="0" borderId="52" xfId="0" applyFont="1" applyBorder="1" applyAlignment="1" applyProtection="1">
      <alignment horizontal="center" vertical="top" shrinkToFit="1"/>
      <protection hidden="1"/>
    </xf>
    <xf numFmtId="0" fontId="4" fillId="0" borderId="65" xfId="0" applyFont="1" applyBorder="1" applyAlignment="1" applyProtection="1">
      <alignment horizontal="center" vertical="top" shrinkToFit="1"/>
      <protection hidden="1"/>
    </xf>
    <xf numFmtId="0" fontId="4" fillId="0" borderId="46" xfId="0" applyFont="1" applyBorder="1" applyAlignment="1" applyProtection="1">
      <alignment shrinkToFit="1"/>
      <protection hidden="1"/>
    </xf>
    <xf numFmtId="174" fontId="4" fillId="0" borderId="46" xfId="20" applyNumberFormat="1" applyFont="1" applyBorder="1" applyAlignment="1" applyProtection="1">
      <alignment horizontal="center" shrinkToFit="1"/>
      <protection hidden="1"/>
    </xf>
    <xf numFmtId="0" fontId="4" fillId="0" borderId="46" xfId="0" applyFont="1" applyBorder="1" applyAlignment="1" applyProtection="1">
      <alignment horizontal="center" shrinkToFit="1"/>
      <protection hidden="1"/>
    </xf>
    <xf numFmtId="0" fontId="4" fillId="0" borderId="34" xfId="20" applyBorder="1" applyAlignment="1" applyProtection="1">
      <alignment horizontal="center" shrinkToFit="1"/>
      <protection hidden="1"/>
    </xf>
    <xf numFmtId="0" fontId="0" fillId="0" borderId="13" xfId="0" applyBorder="1" applyAlignment="1" applyProtection="1">
      <alignment horizontal="center" shrinkToFit="1"/>
      <protection hidden="1"/>
    </xf>
    <xf numFmtId="0" fontId="4" fillId="0" borderId="9" xfId="0" applyFont="1" applyBorder="1" applyAlignment="1" applyProtection="1">
      <alignment horizontal="center" vertical="top" shrinkToFit="1"/>
      <protection hidden="1"/>
    </xf>
    <xf numFmtId="183" fontId="4" fillId="0" borderId="34" xfId="20" applyNumberFormat="1" applyFont="1" applyBorder="1" applyAlignment="1" applyProtection="1">
      <alignment horizontal="center" vertical="center" shrinkToFit="1"/>
      <protection hidden="1"/>
    </xf>
    <xf numFmtId="0" fontId="2" fillId="0" borderId="108" xfId="20" applyFont="1" applyBorder="1" applyAlignment="1" applyProtection="1">
      <alignment horizontal="center" vertical="center" shrinkToFit="1"/>
      <protection hidden="1"/>
    </xf>
    <xf numFmtId="0" fontId="0" fillId="0" borderId="1" xfId="0" applyBorder="1" applyAlignment="1" applyProtection="1">
      <alignment horizontal="center" vertical="center" shrinkToFit="1"/>
      <protection hidden="1"/>
    </xf>
    <xf numFmtId="0" fontId="0" fillId="0" borderId="22" xfId="0" applyFont="1" applyBorder="1" applyAlignment="1" applyProtection="1">
      <alignment vertical="center" shrinkToFit="1"/>
      <protection hidden="1"/>
    </xf>
    <xf numFmtId="0" fontId="18" fillId="0" borderId="83" xfId="20" applyFont="1" applyFill="1" applyBorder="1" applyAlignment="1" applyProtection="1">
      <alignment horizontal="left" shrinkToFit="1"/>
      <protection hidden="1"/>
    </xf>
    <xf numFmtId="0" fontId="0" fillId="0" borderId="81" xfId="0" applyBorder="1" applyAlignment="1">
      <alignment shrinkToFit="1"/>
    </xf>
    <xf numFmtId="0" fontId="0" fillId="0" borderId="78" xfId="0" applyBorder="1" applyAlignment="1">
      <alignment shrinkToFit="1"/>
    </xf>
    <xf numFmtId="0" fontId="54" fillId="0" borderId="0" xfId="20" applyFont="1" applyBorder="1" applyAlignment="1" applyProtection="1">
      <alignment horizontal="center" vertical="top" shrinkToFit="1"/>
      <protection hidden="1"/>
    </xf>
    <xf numFmtId="0" fontId="3" fillId="0" borderId="0" xfId="0" applyFont="1" applyBorder="1" applyAlignment="1" applyProtection="1">
      <alignment horizontal="center" vertical="top" shrinkToFit="1"/>
      <protection hidden="1"/>
    </xf>
    <xf numFmtId="3" fontId="4" fillId="0" borderId="48" xfId="20" applyNumberFormat="1" applyFont="1" applyBorder="1" applyAlignment="1" applyProtection="1">
      <alignment horizontal="center" vertical="center" shrinkToFit="1"/>
      <protection hidden="1"/>
    </xf>
    <xf numFmtId="174" fontId="3" fillId="0" borderId="74" xfId="20" applyNumberFormat="1" applyFont="1" applyBorder="1" applyAlignment="1" applyProtection="1">
      <alignment horizontal="center" shrinkToFit="1"/>
      <protection hidden="1"/>
    </xf>
    <xf numFmtId="0" fontId="3" fillId="0" borderId="8" xfId="0" applyFont="1" applyBorder="1" applyAlignment="1" applyProtection="1">
      <alignment horizontal="center" shrinkToFit="1"/>
      <protection hidden="1"/>
    </xf>
    <xf numFmtId="0" fontId="3" fillId="0" borderId="75" xfId="0" applyFont="1" applyBorder="1" applyAlignment="1" applyProtection="1">
      <alignment horizontal="center" shrinkToFit="1"/>
      <protection hidden="1"/>
    </xf>
    <xf numFmtId="174" fontId="4" fillId="0" borderId="0" xfId="20" applyNumberFormat="1" applyFont="1" applyBorder="1" applyAlignment="1" applyProtection="1">
      <alignment horizontal="center" shrinkToFit="1"/>
      <protection hidden="1"/>
    </xf>
    <xf numFmtId="0" fontId="4" fillId="0" borderId="0" xfId="0" applyFont="1" applyBorder="1" applyAlignment="1" applyProtection="1">
      <alignment horizontal="center" shrinkToFit="1"/>
      <protection hidden="1"/>
    </xf>
    <xf numFmtId="192" fontId="4" fillId="0" borderId="74" xfId="20" applyNumberFormat="1" applyFont="1" applyBorder="1" applyAlignment="1" applyProtection="1">
      <alignment horizontal="center" vertical="center" shrinkToFit="1"/>
      <protection hidden="1"/>
    </xf>
    <xf numFmtId="183" fontId="3" fillId="0" borderId="34" xfId="20" applyNumberFormat="1"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0" borderId="34" xfId="0" applyFont="1" applyBorder="1" applyAlignment="1" applyProtection="1">
      <alignment horizontal="center" vertical="center" shrinkToFit="1"/>
      <protection hidden="1"/>
    </xf>
    <xf numFmtId="0" fontId="4" fillId="0" borderId="34" xfId="20" applyFont="1" applyBorder="1" applyAlignment="1" applyProtection="1">
      <alignment vertical="center" shrinkToFit="1"/>
      <protection hidden="1"/>
    </xf>
    <xf numFmtId="0" fontId="13" fillId="0" borderId="38" xfId="0" applyFont="1" applyBorder="1" applyAlignment="1" applyProtection="1">
      <alignment horizontal="center" vertical="center" shrinkToFit="1"/>
      <protection hidden="1"/>
    </xf>
    <xf numFmtId="0" fontId="4" fillId="0" borderId="38" xfId="0" applyFont="1" applyBorder="1" applyAlignment="1" applyProtection="1">
      <alignment horizontal="center" vertical="center" shrinkToFit="1"/>
      <protection hidden="1"/>
    </xf>
    <xf numFmtId="0" fontId="4" fillId="0" borderId="38" xfId="0" applyFont="1" applyBorder="1" applyAlignment="1" applyProtection="1">
      <alignment vertical="center" shrinkToFit="1"/>
      <protection hidden="1"/>
    </xf>
    <xf numFmtId="0" fontId="4" fillId="0" borderId="8" xfId="20" applyFont="1" applyBorder="1" applyAlignment="1" applyProtection="1">
      <alignment vertical="center" shrinkToFit="1"/>
      <protection hidden="1"/>
    </xf>
    <xf numFmtId="0" fontId="9" fillId="0" borderId="43" xfId="0" applyFont="1" applyBorder="1" applyAlignment="1" applyProtection="1">
      <alignment horizontal="center" vertical="center" shrinkToFit="1"/>
      <protection hidden="1"/>
    </xf>
    <xf numFmtId="0" fontId="4" fillId="0" borderId="0" xfId="0" applyFont="1" applyAlignment="1" applyProtection="1">
      <alignment vertical="center" shrinkToFit="1"/>
      <protection hidden="1"/>
    </xf>
    <xf numFmtId="0" fontId="9" fillId="0" borderId="59" xfId="20" applyFont="1" applyFill="1" applyBorder="1" applyAlignment="1" applyProtection="1">
      <alignment horizontal="center" vertical="center" shrinkToFit="1"/>
      <protection hidden="1"/>
    </xf>
    <xf numFmtId="0" fontId="9" fillId="0" borderId="8" xfId="0" applyFont="1" applyFill="1" applyBorder="1" applyAlignment="1" applyProtection="1">
      <alignment horizontal="center" vertical="center" shrinkToFit="1"/>
      <protection hidden="1"/>
    </xf>
    <xf numFmtId="0" fontId="9" fillId="0" borderId="60" xfId="0" applyFont="1" applyFill="1" applyBorder="1" applyAlignment="1" applyProtection="1">
      <alignment horizontal="center" vertical="center" shrinkToFit="1"/>
      <protection hidden="1"/>
    </xf>
    <xf numFmtId="0" fontId="9" fillId="0" borderId="0" xfId="0" applyFont="1" applyBorder="1" applyAlignment="1" applyProtection="1">
      <alignment vertical="center" shrinkToFit="1"/>
      <protection hidden="1"/>
    </xf>
    <xf numFmtId="0" fontId="17" fillId="0" borderId="22" xfId="0" applyFont="1" applyBorder="1" applyAlignment="1" applyProtection="1">
      <alignment shrinkToFit="1"/>
      <protection hidden="1"/>
    </xf>
    <xf numFmtId="0" fontId="4" fillId="2" borderId="8" xfId="0" applyFont="1" applyFill="1" applyBorder="1" applyAlignment="1" applyProtection="1">
      <alignment horizontal="left" vertical="center" shrinkToFit="1"/>
      <protection hidden="1"/>
    </xf>
    <xf numFmtId="0" fontId="2" fillId="0" borderId="109" xfId="20" applyFont="1" applyBorder="1" applyAlignment="1" applyProtection="1">
      <alignment horizontal="center" vertical="center" shrinkToFit="1"/>
      <protection hidden="1"/>
    </xf>
    <xf numFmtId="0" fontId="0" fillId="0" borderId="39" xfId="0" applyFont="1" applyBorder="1" applyAlignment="1" applyProtection="1">
      <alignment horizontal="center" vertical="center" shrinkToFit="1"/>
      <protection hidden="1"/>
    </xf>
    <xf numFmtId="0" fontId="0" fillId="0" borderId="110" xfId="0" applyFont="1" applyBorder="1" applyAlignment="1" applyProtection="1">
      <alignment horizontal="center" vertical="center" shrinkToFit="1"/>
      <protection hidden="1"/>
    </xf>
    <xf numFmtId="0" fontId="2" fillId="0" borderId="39" xfId="20" applyFont="1" applyBorder="1" applyAlignment="1" applyProtection="1">
      <alignment horizontal="center" vertical="center" shrinkToFit="1"/>
      <protection hidden="1"/>
    </xf>
    <xf numFmtId="0" fontId="0" fillId="0" borderId="39" xfId="0" applyBorder="1" applyAlignment="1" applyProtection="1">
      <alignment horizontal="center" vertical="center" shrinkToFit="1"/>
      <protection hidden="1"/>
    </xf>
    <xf numFmtId="0" fontId="0" fillId="0" borderId="39" xfId="0" applyBorder="1" applyAlignment="1" applyProtection="1">
      <alignment vertical="center" shrinkToFit="1"/>
      <protection hidden="1"/>
    </xf>
    <xf numFmtId="0" fontId="4" fillId="2" borderId="0" xfId="0" applyFont="1" applyFill="1" applyBorder="1" applyAlignment="1" applyProtection="1">
      <alignment horizontal="center" vertical="center" shrinkToFit="1"/>
      <protection hidden="1"/>
    </xf>
    <xf numFmtId="173" fontId="4" fillId="0" borderId="0" xfId="0" applyNumberFormat="1" applyFont="1" applyBorder="1" applyAlignment="1" applyProtection="1">
      <alignment vertical="center" shrinkToFit="1"/>
      <protection locked="0"/>
    </xf>
    <xf numFmtId="173" fontId="4" fillId="0" borderId="37" xfId="0" applyNumberFormat="1" applyFont="1" applyBorder="1" applyAlignment="1" applyProtection="1">
      <alignment vertical="center" shrinkToFit="1"/>
      <protection locked="0"/>
    </xf>
    <xf numFmtId="0" fontId="2" fillId="0" borderId="6" xfId="0" applyFont="1" applyBorder="1" applyAlignment="1" applyProtection="1">
      <alignment horizontal="left" shrinkToFit="1"/>
      <protection hidden="1"/>
    </xf>
    <xf numFmtId="0" fontId="17" fillId="0" borderId="6" xfId="0" applyFont="1" applyBorder="1" applyAlignment="1" applyProtection="1">
      <alignment horizontal="left" shrinkToFit="1"/>
      <protection hidden="1"/>
    </xf>
    <xf numFmtId="0" fontId="17" fillId="0" borderId="99" xfId="0" applyFont="1" applyBorder="1" applyAlignment="1" applyProtection="1">
      <alignment horizontal="left" shrinkToFit="1"/>
      <protection hidden="1"/>
    </xf>
    <xf numFmtId="0" fontId="2" fillId="0" borderId="76" xfId="0" applyFont="1" applyBorder="1" applyAlignment="1" applyProtection="1">
      <alignment horizontal="center" vertical="center" shrinkToFit="1"/>
      <protection hidden="1"/>
    </xf>
    <xf numFmtId="0" fontId="17" fillId="0" borderId="76" xfId="0" applyFont="1" applyBorder="1" applyAlignment="1" applyProtection="1">
      <alignment vertical="center" shrinkToFit="1"/>
      <protection hidden="1"/>
    </xf>
    <xf numFmtId="0" fontId="2" fillId="0" borderId="84" xfId="0" applyFont="1" applyBorder="1" applyAlignment="1" applyProtection="1">
      <alignment vertical="center" shrinkToFit="1"/>
      <protection hidden="1"/>
    </xf>
    <xf numFmtId="0" fontId="0" fillId="0" borderId="14" xfId="0" applyBorder="1" applyAlignment="1" applyProtection="1">
      <alignment vertical="center" shrinkToFit="1"/>
      <protection hidden="1"/>
    </xf>
    <xf numFmtId="49" fontId="4" fillId="3" borderId="59" xfId="20" applyNumberFormat="1" applyFont="1" applyFill="1" applyBorder="1" applyAlignment="1" applyProtection="1">
      <alignment horizontal="center" vertical="center" shrinkToFit="1"/>
      <protection locked="0"/>
    </xf>
    <xf numFmtId="49" fontId="4" fillId="0" borderId="8" xfId="0" applyNumberFormat="1" applyFont="1" applyBorder="1" applyAlignment="1" applyProtection="1">
      <alignment vertical="center" shrinkToFit="1"/>
      <protection locked="0"/>
    </xf>
    <xf numFmtId="49" fontId="4" fillId="0" borderId="60" xfId="0" applyNumberFormat="1" applyFont="1" applyBorder="1" applyAlignment="1" applyProtection="1">
      <alignment vertical="center" shrinkToFit="1"/>
      <protection locked="0"/>
    </xf>
    <xf numFmtId="49" fontId="4" fillId="3" borderId="50" xfId="20" applyNumberFormat="1" applyFont="1" applyFill="1" applyBorder="1" applyAlignment="1" applyProtection="1">
      <alignment horizontal="center" vertical="center" shrinkToFit="1"/>
      <protection locked="0"/>
    </xf>
    <xf numFmtId="49" fontId="4" fillId="0" borderId="9" xfId="0" applyNumberFormat="1" applyFont="1" applyBorder="1" applyAlignment="1" applyProtection="1">
      <alignment horizontal="center" vertical="center" shrinkToFit="1"/>
      <protection locked="0"/>
    </xf>
    <xf numFmtId="49" fontId="4" fillId="0" borderId="49" xfId="0" applyNumberFormat="1" applyFont="1" applyBorder="1" applyAlignment="1" applyProtection="1">
      <alignment horizontal="center" vertical="center" shrinkToFit="1"/>
      <protection locked="0"/>
    </xf>
    <xf numFmtId="0" fontId="4" fillId="0" borderId="74" xfId="0" applyFont="1" applyBorder="1" applyAlignment="1" applyProtection="1">
      <alignment horizontal="left" vertical="center" shrinkToFit="1"/>
      <protection hidden="1"/>
    </xf>
    <xf numFmtId="0" fontId="4" fillId="0" borderId="8" xfId="0" applyFont="1" applyBorder="1" applyAlignment="1" applyProtection="1">
      <alignment horizontal="left" vertical="center" shrinkToFit="1"/>
      <protection hidden="1"/>
    </xf>
    <xf numFmtId="0" fontId="22" fillId="0" borderId="0" xfId="0" applyFont="1" applyBorder="1" applyAlignment="1" applyProtection="1">
      <alignment horizontal="right" vertical="top" shrinkToFit="1"/>
      <protection hidden="1"/>
    </xf>
    <xf numFmtId="0" fontId="22" fillId="0" borderId="13" xfId="0" applyFont="1" applyBorder="1" applyAlignment="1" applyProtection="1">
      <alignment horizontal="right" vertical="top" shrinkToFit="1"/>
      <protection hidden="1"/>
    </xf>
    <xf numFmtId="0" fontId="2" fillId="0" borderId="48" xfId="0" applyFont="1" applyBorder="1" applyAlignment="1" applyProtection="1">
      <alignment horizontal="left" vertical="center" shrinkToFit="1"/>
      <protection hidden="1"/>
    </xf>
    <xf numFmtId="0" fontId="2" fillId="0" borderId="9" xfId="0" applyFont="1" applyBorder="1" applyAlignment="1" applyProtection="1">
      <alignment horizontal="left" vertical="center" shrinkToFit="1"/>
      <protection hidden="1"/>
    </xf>
    <xf numFmtId="0" fontId="1" fillId="0" borderId="0" xfId="0" applyFont="1" applyFill="1" applyBorder="1" applyAlignment="1" applyProtection="1">
      <alignment vertical="center" shrinkToFit="1"/>
      <protection hidden="1"/>
    </xf>
    <xf numFmtId="0" fontId="1" fillId="0" borderId="0" xfId="0" applyFont="1" applyBorder="1" applyAlignment="1" applyProtection="1">
      <alignment vertical="center" shrinkToFit="1"/>
      <protection hidden="1"/>
    </xf>
    <xf numFmtId="0" fontId="4" fillId="3" borderId="94" xfId="20" applyFont="1" applyFill="1" applyBorder="1" applyAlignment="1" applyProtection="1">
      <alignment horizontal="left" vertical="center" shrinkToFit="1"/>
      <protection locked="0"/>
    </xf>
    <xf numFmtId="0" fontId="0" fillId="0" borderId="95" xfId="0" applyBorder="1" applyAlignment="1" applyProtection="1">
      <alignment vertical="center" shrinkToFit="1"/>
      <protection locked="0"/>
    </xf>
    <xf numFmtId="0" fontId="24" fillId="0" borderId="95" xfId="20" applyFont="1" applyBorder="1" applyAlignment="1" applyProtection="1">
      <alignment vertical="center" shrinkToFit="1"/>
      <protection hidden="1"/>
    </xf>
    <xf numFmtId="0" fontId="25" fillId="0" borderId="100" xfId="0" applyFont="1" applyBorder="1" applyAlignment="1" applyProtection="1">
      <alignment vertical="center" shrinkToFit="1"/>
      <protection hidden="1"/>
    </xf>
    <xf numFmtId="0" fontId="42" fillId="0" borderId="9" xfId="20" applyFont="1" applyBorder="1" applyAlignment="1" applyProtection="1">
      <alignment horizontal="center" vertical="center" shrinkToFit="1"/>
      <protection hidden="1"/>
    </xf>
    <xf numFmtId="0" fontId="9" fillId="0" borderId="9" xfId="0" applyFont="1" applyBorder="1" applyAlignment="1" applyProtection="1">
      <alignment horizontal="center" vertical="center" shrinkToFit="1"/>
      <protection hidden="1"/>
    </xf>
    <xf numFmtId="0" fontId="9" fillId="0" borderId="9" xfId="0" applyFont="1" applyBorder="1" applyAlignment="1" applyProtection="1">
      <alignment vertical="center" shrinkToFit="1"/>
      <protection hidden="1"/>
    </xf>
    <xf numFmtId="0" fontId="18" fillId="0" borderId="22" xfId="20" applyFont="1" applyFill="1" applyBorder="1" applyAlignment="1" applyProtection="1">
      <alignment horizontal="center" vertical="center" shrinkToFit="1"/>
      <protection hidden="1"/>
    </xf>
    <xf numFmtId="0" fontId="16" fillId="0" borderId="22" xfId="0" applyFont="1" applyBorder="1" applyAlignment="1" applyProtection="1">
      <alignment horizontal="center" vertical="center" shrinkToFit="1"/>
      <protection hidden="1"/>
    </xf>
    <xf numFmtId="0" fontId="9" fillId="0" borderId="43" xfId="20" applyFont="1" applyBorder="1" applyAlignment="1" applyProtection="1">
      <alignment horizontal="center" vertical="center" shrinkToFit="1"/>
      <protection hidden="1"/>
    </xf>
    <xf numFmtId="0" fontId="9" fillId="0" borderId="0" xfId="0" applyFont="1" applyBorder="1" applyAlignment="1" applyProtection="1">
      <alignment horizontal="center" vertical="center" shrinkToFit="1"/>
      <protection hidden="1"/>
    </xf>
    <xf numFmtId="0" fontId="34" fillId="0" borderId="22" xfId="0" applyFont="1" applyBorder="1" applyAlignment="1" applyProtection="1">
      <alignment vertical="center" shrinkToFit="1"/>
      <protection hidden="1"/>
    </xf>
    <xf numFmtId="0" fontId="52" fillId="0" borderId="22" xfId="0" applyFont="1" applyBorder="1" applyAlignment="1" applyProtection="1">
      <alignment vertical="center" shrinkToFit="1"/>
      <protection hidden="1"/>
    </xf>
    <xf numFmtId="0" fontId="4" fillId="0" borderId="8" xfId="0" applyFont="1" applyBorder="1" applyAlignment="1" applyProtection="1">
      <alignment shrinkToFit="1"/>
      <protection hidden="1"/>
    </xf>
    <xf numFmtId="173" fontId="4" fillId="3" borderId="59" xfId="20" applyNumberFormat="1" applyFont="1" applyFill="1" applyBorder="1" applyAlignment="1" applyProtection="1">
      <alignment horizontal="center" vertical="center" shrinkToFit="1"/>
      <protection locked="0"/>
    </xf>
    <xf numFmtId="173" fontId="4" fillId="0" borderId="8" xfId="0" applyNumberFormat="1" applyFont="1" applyBorder="1" applyAlignment="1" applyProtection="1">
      <alignment vertical="center" shrinkToFit="1"/>
      <protection locked="0"/>
    </xf>
    <xf numFmtId="173" fontId="4" fillId="0" borderId="60" xfId="0" applyNumberFormat="1" applyFont="1" applyBorder="1" applyAlignment="1" applyProtection="1">
      <alignment vertical="center" shrinkToFit="1"/>
      <protection locked="0"/>
    </xf>
    <xf numFmtId="0" fontId="13" fillId="0" borderId="38" xfId="20" applyFont="1" applyBorder="1" applyAlignment="1" applyProtection="1">
      <alignment horizontal="center" vertical="center" shrinkToFit="1"/>
      <protection hidden="1"/>
    </xf>
    <xf numFmtId="0" fontId="4" fillId="0" borderId="42" xfId="0" applyFont="1" applyBorder="1" applyAlignment="1" applyProtection="1">
      <alignment horizontal="center" vertical="center" shrinkToFit="1"/>
      <protection hidden="1"/>
    </xf>
    <xf numFmtId="173" fontId="4" fillId="0" borderId="59" xfId="0" applyNumberFormat="1" applyFont="1" applyBorder="1" applyAlignment="1" applyProtection="1">
      <alignment vertical="center" shrinkToFit="1"/>
      <protection locked="0"/>
    </xf>
    <xf numFmtId="0" fontId="3" fillId="0" borderId="84" xfId="0" applyFont="1" applyBorder="1" applyAlignment="1" applyProtection="1">
      <alignment vertical="center" shrinkToFit="1"/>
      <protection hidden="1"/>
    </xf>
    <xf numFmtId="0" fontId="4" fillId="0" borderId="22" xfId="0" applyFont="1" applyBorder="1" applyAlignment="1" applyProtection="1">
      <alignment vertical="center" shrinkToFit="1"/>
      <protection hidden="1"/>
    </xf>
    <xf numFmtId="0" fontId="4" fillId="0" borderId="14" xfId="0" applyFont="1" applyBorder="1" applyAlignment="1" applyProtection="1">
      <alignment vertical="center" shrinkToFit="1"/>
      <protection hidden="1"/>
    </xf>
    <xf numFmtId="0" fontId="4" fillId="0" borderId="38" xfId="20" applyFont="1" applyBorder="1" applyAlignment="1" applyProtection="1">
      <alignment horizontal="center" vertical="center" shrinkToFit="1"/>
      <protection hidden="1"/>
    </xf>
    <xf numFmtId="0" fontId="3" fillId="0" borderId="38" xfId="20" applyFont="1" applyBorder="1" applyAlignment="1" applyProtection="1">
      <alignment horizontal="center" vertical="center" shrinkToFit="1"/>
      <protection hidden="1"/>
    </xf>
    <xf numFmtId="0" fontId="9" fillId="0" borderId="8" xfId="20" applyFont="1" applyBorder="1" applyAlignment="1" applyProtection="1">
      <alignment horizontal="center" vertical="center" shrinkToFit="1"/>
      <protection hidden="1"/>
    </xf>
    <xf numFmtId="0" fontId="9" fillId="0" borderId="8" xfId="0" applyFont="1" applyBorder="1" applyAlignment="1" applyProtection="1">
      <alignment horizontal="center" vertical="center" shrinkToFit="1"/>
      <protection hidden="1"/>
    </xf>
    <xf numFmtId="0" fontId="9" fillId="0" borderId="8" xfId="0" applyFont="1" applyBorder="1" applyAlignment="1" applyProtection="1">
      <alignment vertical="center" shrinkToFit="1"/>
      <protection hidden="1"/>
    </xf>
    <xf numFmtId="0" fontId="4" fillId="0" borderId="111" xfId="0" applyFont="1" applyBorder="1" applyAlignment="1" applyProtection="1">
      <alignment horizontal="center" vertical="center" shrinkToFit="1"/>
      <protection hidden="1"/>
    </xf>
    <xf numFmtId="0" fontId="4" fillId="0" borderId="112" xfId="20" applyFont="1" applyBorder="1" applyAlignment="1" applyProtection="1">
      <alignment horizontal="center" vertical="top" shrinkToFit="1"/>
      <protection hidden="1"/>
    </xf>
    <xf numFmtId="0" fontId="4" fillId="0" borderId="113" xfId="0" applyFont="1" applyBorder="1" applyAlignment="1" applyProtection="1">
      <alignment horizontal="center" vertical="top" shrinkToFit="1"/>
      <protection hidden="1"/>
    </xf>
    <xf numFmtId="0" fontId="4" fillId="0" borderId="114" xfId="0" applyFont="1" applyBorder="1" applyAlignment="1" applyProtection="1">
      <alignment horizontal="center" vertical="top" shrinkToFit="1"/>
      <protection hidden="1"/>
    </xf>
    <xf numFmtId="0" fontId="1" fillId="0" borderId="34" xfId="20" applyFont="1" applyBorder="1" applyAlignment="1" applyProtection="1">
      <alignment vertical="center" shrinkToFit="1"/>
      <protection hidden="1"/>
    </xf>
    <xf numFmtId="14" fontId="4" fillId="0" borderId="105" xfId="20" applyNumberFormat="1" applyFont="1" applyBorder="1" applyAlignment="1" applyProtection="1">
      <alignment horizontal="center" vertical="center" shrinkToFit="1"/>
      <protection hidden="1"/>
    </xf>
    <xf numFmtId="0" fontId="4" fillId="0" borderId="34" xfId="20" applyFont="1" applyBorder="1" applyAlignment="1" applyProtection="1">
      <alignment shrinkToFit="1"/>
      <protection hidden="1"/>
    </xf>
    <xf numFmtId="0" fontId="4" fillId="0" borderId="0" xfId="0" applyFont="1" applyAlignment="1" applyProtection="1">
      <alignment shrinkToFit="1"/>
      <protection hidden="1"/>
    </xf>
    <xf numFmtId="0" fontId="3" fillId="0" borderId="48" xfId="20" applyFont="1" applyBorder="1" applyAlignment="1" applyProtection="1">
      <alignment vertical="center" shrinkToFit="1"/>
      <protection hidden="1"/>
    </xf>
    <xf numFmtId="0" fontId="3" fillId="0" borderId="9" xfId="0" applyFont="1" applyBorder="1" applyAlignment="1" applyProtection="1">
      <alignment vertical="center" shrinkToFit="1"/>
      <protection hidden="1"/>
    </xf>
    <xf numFmtId="0" fontId="3" fillId="0" borderId="49" xfId="0" applyFont="1" applyBorder="1" applyAlignment="1" applyProtection="1">
      <alignment vertical="center" shrinkToFit="1"/>
      <protection hidden="1"/>
    </xf>
    <xf numFmtId="0" fontId="22" fillId="0" borderId="52" xfId="0" applyFont="1" applyBorder="1" applyAlignment="1" applyProtection="1">
      <alignment horizontal="center" vertical="center" shrinkToFit="1"/>
      <protection hidden="1"/>
    </xf>
    <xf numFmtId="0" fontId="22" fillId="0" borderId="71" xfId="0" applyFont="1" applyBorder="1" applyAlignment="1" applyProtection="1">
      <alignment horizontal="center" vertical="center" shrinkToFit="1"/>
      <protection hidden="1"/>
    </xf>
    <xf numFmtId="0" fontId="9" fillId="0" borderId="74" xfId="0" applyFont="1" applyBorder="1" applyAlignment="1" applyProtection="1">
      <alignment vertical="center" shrinkToFit="1"/>
      <protection hidden="1"/>
    </xf>
    <xf numFmtId="0" fontId="1" fillId="0" borderId="9" xfId="0" applyFont="1" applyFill="1" applyBorder="1" applyAlignment="1" applyProtection="1">
      <alignment vertical="center" shrinkToFit="1"/>
      <protection hidden="1"/>
    </xf>
    <xf numFmtId="0" fontId="0" fillId="0" borderId="9" xfId="0" applyFill="1" applyBorder="1" applyAlignment="1" applyProtection="1">
      <alignment shrinkToFit="1"/>
      <protection hidden="1"/>
    </xf>
    <xf numFmtId="3" fontId="18" fillId="0" borderId="115" xfId="20" applyNumberFormat="1" applyFont="1" applyFill="1" applyBorder="1" applyAlignment="1" applyProtection="1">
      <alignment horizontal="center" vertical="top" shrinkToFit="1"/>
      <protection hidden="1"/>
    </xf>
    <xf numFmtId="0" fontId="18" fillId="0" borderId="115" xfId="0" applyFont="1" applyFill="1" applyBorder="1" applyAlignment="1" applyProtection="1">
      <alignment vertical="top" shrinkToFit="1"/>
      <protection hidden="1"/>
    </xf>
    <xf numFmtId="2" fontId="4" fillId="0" borderId="43" xfId="20" applyNumberFormat="1" applyFont="1" applyBorder="1" applyAlignment="1" applyProtection="1">
      <alignment horizontal="center" vertical="center" shrinkToFit="1"/>
      <protection hidden="1"/>
    </xf>
    <xf numFmtId="2" fontId="4" fillId="0" borderId="37" xfId="20" applyNumberFormat="1" applyFont="1" applyBorder="1" applyAlignment="1" applyProtection="1">
      <alignment horizontal="center" vertical="center" shrinkToFit="1"/>
      <protection hidden="1"/>
    </xf>
    <xf numFmtId="0" fontId="3" fillId="0" borderId="38" xfId="0" applyFont="1" applyBorder="1" applyAlignment="1" applyProtection="1">
      <alignment horizontal="center" vertical="center" shrinkToFit="1"/>
      <protection hidden="1"/>
    </xf>
    <xf numFmtId="0" fontId="4" fillId="0" borderId="116" xfId="0" applyFont="1" applyBorder="1" applyAlignment="1" applyProtection="1">
      <alignment horizontal="center" shrinkToFit="1"/>
      <protection hidden="1"/>
    </xf>
    <xf numFmtId="0" fontId="22" fillId="0" borderId="27" xfId="20" applyFont="1" applyBorder="1" applyAlignment="1" applyProtection="1">
      <alignment horizontal="center" vertical="center" shrinkToFit="1"/>
      <protection hidden="1"/>
    </xf>
    <xf numFmtId="0" fontId="22" fillId="0" borderId="77" xfId="20" applyFont="1" applyBorder="1" applyAlignment="1" applyProtection="1">
      <alignment horizontal="center" vertical="center" shrinkToFit="1"/>
      <protection hidden="1"/>
    </xf>
    <xf numFmtId="0" fontId="0" fillId="0" borderId="24" xfId="0" applyBorder="1" applyAlignment="1">
      <alignment vertical="top" shrinkToFit="1"/>
    </xf>
    <xf numFmtId="185" fontId="3" fillId="0" borderId="43" xfId="20" applyNumberFormat="1" applyFont="1" applyBorder="1" applyAlignment="1" applyProtection="1">
      <alignment horizontal="center" vertical="center" shrinkToFit="1"/>
      <protection hidden="1"/>
    </xf>
    <xf numFmtId="0" fontId="4" fillId="0" borderId="48" xfId="0" applyFont="1" applyBorder="1" applyAlignment="1" applyProtection="1">
      <alignment vertical="center" shrinkToFit="1"/>
      <protection hidden="1"/>
    </xf>
    <xf numFmtId="0" fontId="3" fillId="0" borderId="0" xfId="20" applyFont="1" applyBorder="1" applyAlignment="1" applyProtection="1">
      <alignment horizontal="center" vertical="center" shrinkToFit="1"/>
      <protection hidden="1"/>
    </xf>
    <xf numFmtId="0" fontId="3" fillId="0" borderId="37" xfId="20" applyFont="1" applyBorder="1" applyAlignment="1" applyProtection="1">
      <alignment horizontal="center" vertical="center" shrinkToFit="1"/>
      <protection hidden="1"/>
    </xf>
    <xf numFmtId="173" fontId="18" fillId="0" borderId="35" xfId="20" applyNumberFormat="1" applyFont="1" applyBorder="1" applyAlignment="1" applyProtection="1">
      <alignment horizontal="center" vertical="center" shrinkToFit="1"/>
      <protection hidden="1"/>
    </xf>
    <xf numFmtId="0" fontId="5" fillId="0" borderId="36" xfId="0" applyFont="1" applyBorder="1" applyAlignment="1" applyProtection="1">
      <alignment vertical="center" shrinkToFit="1"/>
      <protection hidden="1"/>
    </xf>
    <xf numFmtId="0" fontId="9" fillId="0" borderId="43" xfId="20" applyFont="1" applyBorder="1" applyAlignment="1" applyProtection="1">
      <alignment horizontal="center" vertical="center" shrinkToFit="1"/>
      <protection hidden="1"/>
    </xf>
    <xf numFmtId="0" fontId="0" fillId="0" borderId="37" xfId="0" applyBorder="1" applyAlignment="1" applyProtection="1">
      <alignment horizontal="center" vertical="center" shrinkToFit="1"/>
      <protection hidden="1"/>
    </xf>
    <xf numFmtId="14" fontId="4" fillId="0" borderId="105" xfId="20" applyNumberFormat="1" applyFont="1" applyBorder="1" applyAlignment="1" applyProtection="1">
      <alignment horizontal="center" vertical="center" shrinkToFit="1"/>
      <protection hidden="1"/>
    </xf>
    <xf numFmtId="0" fontId="4" fillId="0" borderId="105" xfId="0" applyFont="1" applyBorder="1" applyAlignment="1" applyProtection="1">
      <alignment horizontal="center" vertical="center" shrinkToFit="1"/>
      <protection hidden="1"/>
    </xf>
    <xf numFmtId="0" fontId="4" fillId="0" borderId="106" xfId="0" applyFont="1" applyBorder="1" applyAlignment="1" applyProtection="1">
      <alignment horizontal="center" vertical="center" shrinkToFit="1"/>
      <protection hidden="1"/>
    </xf>
    <xf numFmtId="0" fontId="23" fillId="0" borderId="43" xfId="20" applyFont="1" applyBorder="1" applyAlignment="1" applyProtection="1">
      <alignment horizontal="center" vertical="center" shrinkToFit="1"/>
      <protection hidden="1"/>
    </xf>
    <xf numFmtId="0" fontId="2" fillId="0" borderId="0" xfId="20" applyFont="1" applyBorder="1" applyAlignment="1" applyProtection="1">
      <alignment horizontal="center" vertical="center" shrinkToFit="1"/>
      <protection hidden="1"/>
    </xf>
    <xf numFmtId="0" fontId="2" fillId="0" borderId="37" xfId="20" applyFont="1" applyBorder="1" applyAlignment="1" applyProtection="1">
      <alignment horizontal="center" vertical="center" shrinkToFit="1"/>
      <protection hidden="1"/>
    </xf>
    <xf numFmtId="0" fontId="4" fillId="0" borderId="112" xfId="20" applyFont="1" applyBorder="1" applyAlignment="1" applyProtection="1">
      <alignment horizontal="center" vertical="center" shrinkToFit="1"/>
      <protection hidden="1"/>
    </xf>
    <xf numFmtId="0" fontId="4" fillId="0" borderId="113" xfId="0" applyFont="1" applyBorder="1" applyAlignment="1" applyProtection="1">
      <alignment horizontal="center" vertical="center" shrinkToFit="1"/>
      <protection hidden="1"/>
    </xf>
    <xf numFmtId="0" fontId="4" fillId="0" borderId="114" xfId="0" applyFont="1" applyBorder="1" applyAlignment="1" applyProtection="1">
      <alignment horizontal="center" vertical="center" shrinkToFit="1"/>
      <protection hidden="1"/>
    </xf>
    <xf numFmtId="0" fontId="50" fillId="0" borderId="52" xfId="20" applyFont="1" applyBorder="1" applyAlignment="1" applyProtection="1">
      <alignment horizontal="right" vertical="top" shrinkToFit="1"/>
      <protection hidden="1"/>
    </xf>
    <xf numFmtId="0" fontId="50" fillId="0" borderId="65" xfId="20" applyFont="1" applyBorder="1" applyAlignment="1" applyProtection="1">
      <alignment horizontal="right" vertical="top" shrinkToFit="1"/>
      <protection hidden="1"/>
    </xf>
    <xf numFmtId="185" fontId="4" fillId="0" borderId="43" xfId="0" applyNumberFormat="1" applyFont="1" applyBorder="1" applyAlignment="1" applyProtection="1">
      <alignment horizontal="center" vertical="center" shrinkToFit="1"/>
      <protection hidden="1"/>
    </xf>
    <xf numFmtId="0" fontId="13" fillId="0" borderId="59" xfId="20" applyFont="1" applyBorder="1" applyAlignment="1" applyProtection="1">
      <alignment horizontal="center" vertical="center" shrinkToFit="1"/>
      <protection hidden="1"/>
    </xf>
    <xf numFmtId="0" fontId="13" fillId="0" borderId="60" xfId="20" applyFont="1" applyBorder="1" applyAlignment="1" applyProtection="1">
      <alignment horizontal="center" vertical="center" shrinkToFit="1"/>
      <protection hidden="1"/>
    </xf>
    <xf numFmtId="185" fontId="4" fillId="0" borderId="59" xfId="0" applyNumberFormat="1" applyFont="1" applyFill="1" applyBorder="1" applyAlignment="1" applyProtection="1">
      <alignment horizontal="center" vertical="center" shrinkToFit="1"/>
      <protection hidden="1"/>
    </xf>
    <xf numFmtId="185" fontId="4" fillId="0" borderId="60" xfId="0" applyNumberFormat="1" applyFont="1" applyFill="1" applyBorder="1" applyAlignment="1" applyProtection="1">
      <alignment horizontal="center" vertical="center" shrinkToFit="1"/>
      <protection hidden="1"/>
    </xf>
    <xf numFmtId="185" fontId="4" fillId="0" borderId="43" xfId="20" applyNumberFormat="1" applyFont="1" applyBorder="1" applyAlignment="1" applyProtection="1">
      <alignment horizontal="center" vertical="center" shrinkToFit="1"/>
      <protection hidden="1"/>
    </xf>
    <xf numFmtId="185" fontId="4" fillId="0" borderId="37" xfId="0" applyNumberFormat="1" applyFont="1" applyBorder="1" applyAlignment="1" applyProtection="1">
      <alignment horizontal="center" vertical="center" shrinkToFit="1"/>
      <protection hidden="1"/>
    </xf>
    <xf numFmtId="0" fontId="4" fillId="3" borderId="104" xfId="20" applyFont="1" applyFill="1" applyBorder="1" applyAlignment="1" applyProtection="1">
      <alignment horizontal="center" vertical="center" shrinkToFit="1"/>
      <protection locked="0"/>
    </xf>
    <xf numFmtId="0" fontId="4" fillId="0" borderId="117" xfId="0" applyFont="1" applyBorder="1" applyAlignment="1" applyProtection="1">
      <alignment horizontal="center" vertical="center" shrinkToFit="1"/>
      <protection locked="0"/>
    </xf>
    <xf numFmtId="0" fontId="2" fillId="0" borderId="118" xfId="0" applyFont="1" applyBorder="1" applyAlignment="1" applyProtection="1">
      <alignment horizontal="left" shrinkToFit="1"/>
      <protection hidden="1"/>
    </xf>
    <xf numFmtId="0" fontId="2" fillId="0" borderId="119" xfId="0" applyFont="1" applyBorder="1" applyAlignment="1" applyProtection="1">
      <alignment horizontal="center" vertical="center" shrinkToFit="1"/>
      <protection hidden="1"/>
    </xf>
    <xf numFmtId="0" fontId="17" fillId="0" borderId="120" xfId="0" applyFont="1" applyBorder="1" applyAlignment="1" applyProtection="1">
      <alignment vertical="center" shrinkToFit="1"/>
      <protection hidden="1"/>
    </xf>
    <xf numFmtId="0" fontId="13" fillId="0" borderId="0" xfId="20" applyFont="1" applyFill="1" applyBorder="1" applyAlignment="1" applyProtection="1">
      <alignment horizontal="center" vertical="center" shrinkToFit="1"/>
      <protection hidden="1"/>
    </xf>
    <xf numFmtId="0" fontId="4" fillId="0" borderId="0" xfId="0" applyFont="1" applyAlignment="1" applyProtection="1">
      <alignment horizontal="center" vertical="center" shrinkToFit="1"/>
      <protection hidden="1"/>
    </xf>
    <xf numFmtId="3" fontId="18" fillId="0" borderId="0" xfId="20" applyNumberFormat="1" applyFont="1" applyFill="1" applyBorder="1" applyAlignment="1" applyProtection="1">
      <alignment horizontal="center" vertical="center" shrinkToFit="1"/>
      <protection hidden="1"/>
    </xf>
    <xf numFmtId="173" fontId="4" fillId="3" borderId="50" xfId="0" applyNumberFormat="1" applyFont="1" applyFill="1" applyBorder="1" applyAlignment="1" applyProtection="1">
      <alignment horizontal="center" vertical="center" shrinkToFit="1"/>
      <protection locked="0"/>
    </xf>
    <xf numFmtId="173" fontId="4" fillId="0" borderId="49" xfId="0" applyNumberFormat="1" applyFont="1" applyBorder="1" applyAlignment="1" applyProtection="1">
      <alignment horizontal="center" vertical="center" shrinkToFit="1"/>
      <protection locked="0"/>
    </xf>
    <xf numFmtId="0" fontId="42" fillId="0" borderId="34" xfId="0" applyFont="1" applyBorder="1" applyAlignment="1" applyProtection="1">
      <alignment vertical="center" shrinkToFit="1"/>
      <protection hidden="1"/>
    </xf>
    <xf numFmtId="0" fontId="42" fillId="0" borderId="0" xfId="0" applyFont="1" applyBorder="1" applyAlignment="1" applyProtection="1">
      <alignment vertical="center" shrinkToFit="1"/>
      <protection hidden="1"/>
    </xf>
    <xf numFmtId="173" fontId="4" fillId="3" borderId="59" xfId="0" applyNumberFormat="1" applyFont="1" applyFill="1" applyBorder="1" applyAlignment="1" applyProtection="1">
      <alignment horizontal="center" vertical="center" shrinkToFit="1"/>
      <protection locked="0"/>
    </xf>
    <xf numFmtId="173" fontId="4" fillId="0" borderId="60" xfId="0" applyNumberFormat="1" applyFont="1" applyBorder="1" applyAlignment="1" applyProtection="1">
      <alignment horizontal="center" vertical="center" shrinkToFit="1"/>
      <protection locked="0"/>
    </xf>
    <xf numFmtId="3" fontId="9" fillId="0" borderId="43" xfId="0" applyNumberFormat="1" applyFont="1" applyBorder="1" applyAlignment="1" applyProtection="1">
      <alignment horizontal="center" vertical="center" shrinkToFit="1"/>
      <protection hidden="1"/>
    </xf>
    <xf numFmtId="0" fontId="13" fillId="0" borderId="59" xfId="0" applyFont="1" applyBorder="1" applyAlignment="1" applyProtection="1">
      <alignment horizontal="center" vertical="top" shrinkToFit="1"/>
      <protection hidden="1"/>
    </xf>
    <xf numFmtId="0" fontId="4" fillId="0" borderId="8" xfId="0" applyFont="1" applyBorder="1" applyAlignment="1" applyProtection="1">
      <alignment horizontal="center" shrinkToFit="1"/>
      <protection hidden="1"/>
    </xf>
    <xf numFmtId="0" fontId="4" fillId="0" borderId="60" xfId="0" applyFont="1" applyBorder="1" applyAlignment="1" applyProtection="1">
      <alignment horizontal="center" shrinkToFit="1"/>
      <protection hidden="1"/>
    </xf>
    <xf numFmtId="0" fontId="9" fillId="0" borderId="0" xfId="0" applyFont="1" applyBorder="1" applyAlignment="1" applyProtection="1">
      <alignment shrinkToFit="1"/>
      <protection hidden="1"/>
    </xf>
    <xf numFmtId="0" fontId="9" fillId="0" borderId="34" xfId="0" applyFont="1" applyBorder="1" applyAlignment="1" applyProtection="1">
      <alignment vertical="center" shrinkToFit="1"/>
      <protection hidden="1"/>
    </xf>
    <xf numFmtId="0" fontId="22" fillId="0" borderId="22" xfId="0" applyFont="1" applyBorder="1" applyAlignment="1" applyProtection="1">
      <alignment horizontal="right" shrinkToFit="1"/>
      <protection hidden="1"/>
    </xf>
    <xf numFmtId="0" fontId="4" fillId="0" borderId="104" xfId="20" applyFont="1" applyBorder="1" applyAlignment="1" applyProtection="1">
      <alignment horizontal="center" vertical="center" shrinkToFit="1"/>
      <protection hidden="1"/>
    </xf>
    <xf numFmtId="0" fontId="4" fillId="3" borderId="87" xfId="20" applyFont="1" applyFill="1" applyBorder="1" applyAlignment="1" applyProtection="1">
      <alignment horizontal="left" vertical="center" shrinkToFit="1"/>
      <protection locked="0"/>
    </xf>
    <xf numFmtId="0" fontId="4" fillId="0" borderId="4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173" fontId="3" fillId="0" borderId="50" xfId="20" applyNumberFormat="1" applyFont="1" applyFill="1" applyBorder="1" applyAlignment="1" applyProtection="1">
      <alignment horizontal="center" vertical="center" shrinkToFit="1"/>
      <protection hidden="1"/>
    </xf>
    <xf numFmtId="173" fontId="3" fillId="0" borderId="49" xfId="0" applyNumberFormat="1" applyFont="1" applyBorder="1" applyAlignment="1" applyProtection="1">
      <alignment horizontal="center" vertical="center" shrinkToFit="1"/>
      <protection hidden="1"/>
    </xf>
    <xf numFmtId="173" fontId="3" fillId="0" borderId="59" xfId="20" applyNumberFormat="1" applyFont="1" applyBorder="1" applyAlignment="1" applyProtection="1">
      <alignment horizontal="center" vertical="center" shrinkToFit="1"/>
      <protection hidden="1"/>
    </xf>
    <xf numFmtId="173" fontId="3" fillId="0" borderId="60" xfId="0" applyNumberFormat="1" applyFont="1" applyBorder="1" applyAlignment="1" applyProtection="1">
      <alignment horizontal="center" vertical="center" shrinkToFit="1"/>
      <protection hidden="1"/>
    </xf>
    <xf numFmtId="0" fontId="13" fillId="0" borderId="37" xfId="20" applyFont="1" applyBorder="1" applyAlignment="1" applyProtection="1">
      <alignment horizontal="center" vertical="center" shrinkToFit="1"/>
      <protection hidden="1"/>
    </xf>
    <xf numFmtId="0" fontId="13" fillId="0" borderId="9" xfId="20" applyFont="1" applyBorder="1" applyAlignment="1" applyProtection="1">
      <alignment horizontal="center" vertical="center" shrinkToFit="1"/>
      <protection hidden="1"/>
    </xf>
    <xf numFmtId="0" fontId="13" fillId="0" borderId="50" xfId="0" applyFont="1" applyBorder="1" applyAlignment="1" applyProtection="1">
      <alignment horizontal="center" vertical="center" shrinkToFit="1"/>
      <protection hidden="1"/>
    </xf>
    <xf numFmtId="0" fontId="4" fillId="3" borderId="105" xfId="20" applyFont="1" applyFill="1" applyBorder="1" applyAlignment="1" applyProtection="1">
      <alignment horizontal="center" vertical="center" shrinkToFit="1"/>
      <protection locked="0"/>
    </xf>
    <xf numFmtId="0" fontId="4" fillId="0" borderId="107" xfId="0" applyFont="1" applyBorder="1" applyAlignment="1" applyProtection="1">
      <alignment horizontal="center" vertical="center" shrinkToFit="1"/>
      <protection locked="0"/>
    </xf>
    <xf numFmtId="173" fontId="18" fillId="0" borderId="121" xfId="20" applyNumberFormat="1" applyFont="1" applyBorder="1" applyAlignment="1" applyProtection="1">
      <alignment horizontal="center" vertical="top" shrinkToFit="1"/>
      <protection hidden="1"/>
    </xf>
    <xf numFmtId="0" fontId="18" fillId="0" borderId="121" xfId="0" applyFont="1" applyBorder="1" applyAlignment="1" applyProtection="1">
      <alignment horizontal="center" vertical="top" shrinkToFit="1"/>
      <protection hidden="1"/>
    </xf>
    <xf numFmtId="0" fontId="18" fillId="0" borderId="20" xfId="0" applyFont="1" applyBorder="1" applyAlignment="1" applyProtection="1">
      <alignment horizontal="center" vertical="center" shrinkToFit="1"/>
      <protection hidden="1"/>
    </xf>
    <xf numFmtId="0" fontId="18" fillId="0" borderId="9" xfId="0" applyFont="1" applyBorder="1" applyAlignment="1" applyProtection="1">
      <alignment horizontal="center" vertical="top" shrinkToFit="1"/>
      <protection hidden="1"/>
    </xf>
    <xf numFmtId="0" fontId="24" fillId="0" borderId="74" xfId="0" applyFont="1" applyBorder="1" applyAlignment="1" applyProtection="1">
      <alignment vertical="top" shrinkToFit="1"/>
      <protection hidden="1"/>
    </xf>
    <xf numFmtId="0" fontId="25" fillId="0" borderId="8" xfId="0" applyFont="1" applyBorder="1" applyAlignment="1" applyProtection="1">
      <alignment vertical="top" shrinkToFit="1"/>
      <protection hidden="1"/>
    </xf>
    <xf numFmtId="0" fontId="14" fillId="0" borderId="34" xfId="0" applyFont="1" applyBorder="1" applyAlignment="1" applyProtection="1">
      <alignment vertical="center" shrinkToFit="1"/>
      <protection hidden="1"/>
    </xf>
    <xf numFmtId="173" fontId="4" fillId="3" borderId="35" xfId="0" applyNumberFormat="1" applyFont="1" applyFill="1" applyBorder="1" applyAlignment="1" applyProtection="1">
      <alignment horizontal="center" vertical="center" shrinkToFit="1"/>
      <protection locked="0"/>
    </xf>
    <xf numFmtId="173" fontId="4" fillId="0" borderId="36" xfId="0" applyNumberFormat="1" applyFont="1" applyBorder="1" applyAlignment="1" applyProtection="1">
      <alignment horizontal="center" vertical="center" shrinkToFit="1"/>
      <protection locked="0"/>
    </xf>
    <xf numFmtId="0" fontId="14" fillId="0" borderId="34" xfId="0" applyFont="1" applyBorder="1" applyAlignment="1" applyProtection="1">
      <alignment horizontal="left" vertical="center" shrinkToFit="1"/>
      <protection hidden="1"/>
    </xf>
    <xf numFmtId="0" fontId="0" fillId="0" borderId="73" xfId="0" applyBorder="1" applyAlignment="1" applyProtection="1">
      <alignment vertical="center" shrinkToFit="1"/>
      <protection hidden="1"/>
    </xf>
    <xf numFmtId="3" fontId="4" fillId="3" borderId="48" xfId="20" applyNumberFormat="1" applyFont="1" applyFill="1" applyBorder="1" applyAlignment="1" applyProtection="1">
      <alignment horizontal="center" vertical="center" shrinkToFit="1"/>
      <protection locked="0"/>
    </xf>
    <xf numFmtId="0" fontId="4" fillId="0" borderId="73" xfId="0" applyFont="1" applyBorder="1" applyAlignment="1" applyProtection="1">
      <alignment vertical="center" shrinkToFit="1"/>
      <protection locked="0"/>
    </xf>
    <xf numFmtId="0" fontId="4" fillId="0" borderId="34" xfId="0" applyFont="1" applyBorder="1" applyAlignment="1" applyProtection="1">
      <alignment vertical="center" shrinkToFit="1"/>
      <protection locked="0"/>
    </xf>
    <xf numFmtId="0" fontId="4" fillId="0" borderId="13" xfId="0" applyFont="1" applyBorder="1" applyAlignment="1" applyProtection="1">
      <alignment vertical="center" shrinkToFit="1"/>
      <protection locked="0"/>
    </xf>
    <xf numFmtId="1" fontId="4" fillId="3" borderId="74" xfId="20" applyNumberFormat="1" applyFont="1" applyFill="1" applyBorder="1" applyAlignment="1" applyProtection="1">
      <alignment horizontal="center" vertical="center" shrinkToFit="1"/>
      <protection locked="0"/>
    </xf>
    <xf numFmtId="1" fontId="4" fillId="3" borderId="75" xfId="0" applyNumberFormat="1" applyFont="1" applyFill="1" applyBorder="1" applyAlignment="1" applyProtection="1">
      <alignment vertical="center" shrinkToFit="1"/>
      <protection locked="0"/>
    </xf>
    <xf numFmtId="173" fontId="4" fillId="3" borderId="38" xfId="20" applyNumberFormat="1" applyFont="1" applyFill="1" applyBorder="1" applyAlignment="1" applyProtection="1">
      <alignment horizontal="center" vertical="center" shrinkToFit="1"/>
      <protection locked="0"/>
    </xf>
    <xf numFmtId="173" fontId="4" fillId="0" borderId="38" xfId="0" applyNumberFormat="1" applyFont="1" applyBorder="1" applyAlignment="1" applyProtection="1">
      <alignment vertical="center" shrinkToFit="1"/>
      <protection locked="0"/>
    </xf>
    <xf numFmtId="0" fontId="4" fillId="0" borderId="11" xfId="0" applyFont="1" applyFill="1" applyBorder="1" applyAlignment="1" applyProtection="1">
      <alignment vertical="center" shrinkToFit="1"/>
      <protection hidden="1"/>
    </xf>
    <xf numFmtId="0" fontId="4" fillId="0" borderId="11" xfId="0" applyFont="1" applyFill="1" applyBorder="1" applyAlignment="1" applyProtection="1">
      <alignment shrinkToFit="1"/>
      <protection hidden="1"/>
    </xf>
    <xf numFmtId="0" fontId="26" fillId="0" borderId="0" xfId="0" applyFont="1" applyBorder="1" applyAlignment="1" applyProtection="1">
      <alignment horizontal="center" vertical="center" shrinkToFit="1"/>
      <protection hidden="1"/>
    </xf>
    <xf numFmtId="0" fontId="26" fillId="0" borderId="0" xfId="0" applyFont="1" applyBorder="1" applyAlignment="1" applyProtection="1">
      <alignment horizontal="left" vertical="center" shrinkToFit="1"/>
      <protection hidden="1"/>
    </xf>
    <xf numFmtId="0" fontId="0" fillId="0" borderId="0" xfId="0" applyAlignment="1" applyProtection="1">
      <alignment horizontal="left" vertical="center" shrinkToFit="1"/>
      <protection hidden="1"/>
    </xf>
    <xf numFmtId="0" fontId="19" fillId="0" borderId="0" xfId="0" applyFont="1" applyBorder="1" applyAlignment="1" applyProtection="1">
      <alignment horizontal="center" vertical="center" shrinkToFit="1"/>
      <protection locked="0"/>
    </xf>
    <xf numFmtId="0" fontId="0" fillId="0" borderId="0" xfId="0" applyAlignment="1" applyProtection="1">
      <alignment horizontal="center" shrinkToFit="1"/>
      <protection locked="0"/>
    </xf>
    <xf numFmtId="0" fontId="0" fillId="0" borderId="0" xfId="0" applyAlignment="1" applyProtection="1">
      <alignment vertical="center" shrinkToFit="1"/>
      <protection hidden="1"/>
    </xf>
    <xf numFmtId="0" fontId="2" fillId="0" borderId="0" xfId="0" applyFont="1" applyFill="1" applyBorder="1" applyAlignment="1" applyProtection="1">
      <alignment horizontal="center" vertical="center" shrinkToFit="1"/>
      <protection hidden="1"/>
    </xf>
    <xf numFmtId="0" fontId="26" fillId="0" borderId="0" xfId="0" applyFont="1" applyFill="1" applyBorder="1" applyAlignment="1" applyProtection="1">
      <alignment horizontal="center" vertical="center" shrinkToFit="1"/>
      <protection hidden="1"/>
    </xf>
    <xf numFmtId="173" fontId="4" fillId="0" borderId="0" xfId="0" applyNumberFormat="1" applyFont="1" applyFill="1" applyBorder="1" applyAlignment="1" applyProtection="1">
      <alignment horizontal="center" vertical="center"/>
      <protection/>
    </xf>
    <xf numFmtId="2" fontId="4" fillId="0" borderId="0" xfId="0" applyNumberFormat="1" applyFont="1" applyBorder="1" applyAlignment="1" applyProtection="1">
      <alignment horizontal="center" vertical="center"/>
      <protection/>
    </xf>
    <xf numFmtId="0" fontId="4" fillId="0" borderId="0" xfId="0" applyNumberFormat="1" applyFont="1" applyBorder="1" applyAlignment="1" applyProtection="1">
      <alignment horizontal="center" vertical="center"/>
      <protection/>
    </xf>
    <xf numFmtId="173" fontId="4" fillId="0" borderId="0" xfId="0" applyNumberFormat="1" applyFont="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1" fontId="4" fillId="0" borderId="0" xfId="0" applyNumberFormat="1" applyFont="1" applyBorder="1" applyAlignment="1" applyProtection="1">
      <alignment horizontal="center"/>
      <protection/>
    </xf>
    <xf numFmtId="1" fontId="4" fillId="0" borderId="0" xfId="0" applyNumberFormat="1" applyFont="1" applyFill="1" applyBorder="1" applyAlignment="1" applyProtection="1">
      <alignment horizontal="center"/>
      <protection/>
    </xf>
    <xf numFmtId="2" fontId="2" fillId="0" borderId="0" xfId="0" applyNumberFormat="1" applyFont="1" applyBorder="1" applyAlignment="1" applyProtection="1">
      <alignment horizontal="center" vertical="center"/>
      <protection/>
    </xf>
    <xf numFmtId="0" fontId="4" fillId="0" borderId="0" xfId="0" applyFont="1" applyAlignment="1" applyProtection="1">
      <alignment horizontal="center"/>
      <protection/>
    </xf>
  </cellXfs>
  <cellStyles count="9">
    <cellStyle name="Normal" xfId="0"/>
    <cellStyle name="Followed Hyperlink" xfId="15"/>
    <cellStyle name="Comma" xfId="16"/>
    <cellStyle name="Comma [0]" xfId="17"/>
    <cellStyle name="Hyperlink" xfId="18"/>
    <cellStyle name="Percent" xfId="19"/>
    <cellStyle name="Standard_AufschFL1"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BDBD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26</xdr:row>
      <xdr:rowOff>0</xdr:rowOff>
    </xdr:from>
    <xdr:to>
      <xdr:col>3</xdr:col>
      <xdr:colOff>333375</xdr:colOff>
      <xdr:row>26</xdr:row>
      <xdr:rowOff>0</xdr:rowOff>
    </xdr:to>
    <xdr:sp>
      <xdr:nvSpPr>
        <xdr:cNvPr id="1" name="Line 1"/>
        <xdr:cNvSpPr>
          <a:spLocks/>
        </xdr:cNvSpPr>
      </xdr:nvSpPr>
      <xdr:spPr>
        <a:xfrm flipH="1" flipV="1">
          <a:off x="1990725" y="46767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26</xdr:row>
      <xdr:rowOff>0</xdr:rowOff>
    </xdr:from>
    <xdr:to>
      <xdr:col>5</xdr:col>
      <xdr:colOff>0</xdr:colOff>
      <xdr:row>26</xdr:row>
      <xdr:rowOff>0</xdr:rowOff>
    </xdr:to>
    <xdr:sp>
      <xdr:nvSpPr>
        <xdr:cNvPr id="2" name="Line 3"/>
        <xdr:cNvSpPr>
          <a:spLocks/>
        </xdr:cNvSpPr>
      </xdr:nvSpPr>
      <xdr:spPr>
        <a:xfrm flipV="1">
          <a:off x="2628900" y="46767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26</xdr:row>
      <xdr:rowOff>0</xdr:rowOff>
    </xdr:from>
    <xdr:to>
      <xdr:col>6</xdr:col>
      <xdr:colOff>9525</xdr:colOff>
      <xdr:row>26</xdr:row>
      <xdr:rowOff>0</xdr:rowOff>
    </xdr:to>
    <xdr:sp>
      <xdr:nvSpPr>
        <xdr:cNvPr id="3" name="Line 4"/>
        <xdr:cNvSpPr>
          <a:spLocks/>
        </xdr:cNvSpPr>
      </xdr:nvSpPr>
      <xdr:spPr>
        <a:xfrm flipH="1" flipV="1">
          <a:off x="3124200" y="46767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26</xdr:row>
      <xdr:rowOff>0</xdr:rowOff>
    </xdr:from>
    <xdr:to>
      <xdr:col>4</xdr:col>
      <xdr:colOff>400050</xdr:colOff>
      <xdr:row>26</xdr:row>
      <xdr:rowOff>0</xdr:rowOff>
    </xdr:to>
    <xdr:sp>
      <xdr:nvSpPr>
        <xdr:cNvPr id="4" name="Line 8"/>
        <xdr:cNvSpPr>
          <a:spLocks/>
        </xdr:cNvSpPr>
      </xdr:nvSpPr>
      <xdr:spPr>
        <a:xfrm flipV="1">
          <a:off x="2543175" y="46767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26</xdr:row>
      <xdr:rowOff>0</xdr:rowOff>
    </xdr:from>
    <xdr:to>
      <xdr:col>3</xdr:col>
      <xdr:colOff>114300</xdr:colOff>
      <xdr:row>26</xdr:row>
      <xdr:rowOff>0</xdr:rowOff>
    </xdr:to>
    <xdr:grpSp>
      <xdr:nvGrpSpPr>
        <xdr:cNvPr id="5" name="Group 336"/>
        <xdr:cNvGrpSpPr>
          <a:grpSpLocks/>
        </xdr:cNvGrpSpPr>
      </xdr:nvGrpSpPr>
      <xdr:grpSpPr>
        <a:xfrm>
          <a:off x="1771650" y="4676775"/>
          <a:ext cx="0" cy="0"/>
          <a:chOff x="188" y="461"/>
          <a:chExt cx="0" cy="0"/>
        </a:xfrm>
        <a:solidFill>
          <a:srgbClr val="FFFFFF"/>
        </a:solidFill>
      </xdr:grpSpPr>
      <xdr:sp>
        <xdr:nvSpPr>
          <xdr:cNvPr id="6" name="Line 73"/>
          <xdr:cNvSpPr>
            <a:spLocks/>
          </xdr:cNvSpPr>
        </xdr:nvSpPr>
        <xdr:spPr>
          <a:xfrm flipV="1">
            <a:off x="188" y="461"/>
            <a:ext cx="0" cy="0"/>
          </a:xfrm>
          <a:prstGeom prst="line">
            <a:avLst/>
          </a:prstGeom>
          <a:noFill/>
          <a:ln w="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Line 74"/>
          <xdr:cNvSpPr>
            <a:spLocks/>
          </xdr:cNvSpPr>
        </xdr:nvSpPr>
        <xdr:spPr>
          <a:xfrm>
            <a:off x="188" y="461"/>
            <a:ext cx="0" cy="0"/>
          </a:xfrm>
          <a:prstGeom prst="line">
            <a:avLst/>
          </a:prstGeom>
          <a:noFill/>
          <a:ln w="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Line 75"/>
          <xdr:cNvSpPr>
            <a:spLocks/>
          </xdr:cNvSpPr>
        </xdr:nvSpPr>
        <xdr:spPr>
          <a:xfrm>
            <a:off x="188" y="461"/>
            <a:ext cx="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26</xdr:row>
      <xdr:rowOff>0</xdr:rowOff>
    </xdr:from>
    <xdr:to>
      <xdr:col>12</xdr:col>
      <xdr:colOff>0</xdr:colOff>
      <xdr:row>26</xdr:row>
      <xdr:rowOff>0</xdr:rowOff>
    </xdr:to>
    <xdr:sp>
      <xdr:nvSpPr>
        <xdr:cNvPr id="9" name="Line 78"/>
        <xdr:cNvSpPr>
          <a:spLocks/>
        </xdr:cNvSpPr>
      </xdr:nvSpPr>
      <xdr:spPr>
        <a:xfrm flipV="1">
          <a:off x="6076950" y="4676775"/>
          <a:ext cx="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26</xdr:row>
      <xdr:rowOff>0</xdr:rowOff>
    </xdr:from>
    <xdr:to>
      <xdr:col>12</xdr:col>
      <xdr:colOff>0</xdr:colOff>
      <xdr:row>26</xdr:row>
      <xdr:rowOff>0</xdr:rowOff>
    </xdr:to>
    <xdr:sp>
      <xdr:nvSpPr>
        <xdr:cNvPr id="10" name="Line 79"/>
        <xdr:cNvSpPr>
          <a:spLocks/>
        </xdr:cNvSpPr>
      </xdr:nvSpPr>
      <xdr:spPr>
        <a:xfrm flipV="1">
          <a:off x="6076950" y="4676775"/>
          <a:ext cx="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26</xdr:row>
      <xdr:rowOff>0</xdr:rowOff>
    </xdr:from>
    <xdr:to>
      <xdr:col>12</xdr:col>
      <xdr:colOff>0</xdr:colOff>
      <xdr:row>26</xdr:row>
      <xdr:rowOff>0</xdr:rowOff>
    </xdr:to>
    <xdr:sp>
      <xdr:nvSpPr>
        <xdr:cNvPr id="11" name="Line 116"/>
        <xdr:cNvSpPr>
          <a:spLocks/>
        </xdr:cNvSpPr>
      </xdr:nvSpPr>
      <xdr:spPr>
        <a:xfrm flipH="1" flipV="1">
          <a:off x="6076950" y="46767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26</xdr:row>
      <xdr:rowOff>0</xdr:rowOff>
    </xdr:from>
    <xdr:to>
      <xdr:col>12</xdr:col>
      <xdr:colOff>0</xdr:colOff>
      <xdr:row>26</xdr:row>
      <xdr:rowOff>0</xdr:rowOff>
    </xdr:to>
    <xdr:sp>
      <xdr:nvSpPr>
        <xdr:cNvPr id="12" name="Line 117"/>
        <xdr:cNvSpPr>
          <a:spLocks/>
        </xdr:cNvSpPr>
      </xdr:nvSpPr>
      <xdr:spPr>
        <a:xfrm flipH="1" flipV="1">
          <a:off x="6076950" y="46767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0</xdr:rowOff>
    </xdr:from>
    <xdr:to>
      <xdr:col>4</xdr:col>
      <xdr:colOff>0</xdr:colOff>
      <xdr:row>26</xdr:row>
      <xdr:rowOff>0</xdr:rowOff>
    </xdr:to>
    <xdr:sp>
      <xdr:nvSpPr>
        <xdr:cNvPr id="13" name="Line 237"/>
        <xdr:cNvSpPr>
          <a:spLocks/>
        </xdr:cNvSpPr>
      </xdr:nvSpPr>
      <xdr:spPr>
        <a:xfrm flipV="1">
          <a:off x="2143125" y="46767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0</xdr:row>
      <xdr:rowOff>0</xdr:rowOff>
    </xdr:from>
    <xdr:to>
      <xdr:col>12</xdr:col>
      <xdr:colOff>0</xdr:colOff>
      <xdr:row>5</xdr:row>
      <xdr:rowOff>266700</xdr:rowOff>
    </xdr:to>
    <xdr:sp>
      <xdr:nvSpPr>
        <xdr:cNvPr id="14" name="TextBox 784"/>
        <xdr:cNvSpPr txBox="1">
          <a:spLocks noChangeArrowheads="1"/>
        </xdr:cNvSpPr>
      </xdr:nvSpPr>
      <xdr:spPr>
        <a:xfrm>
          <a:off x="219075" y="0"/>
          <a:ext cx="5857875" cy="895350"/>
        </a:xfrm>
        <a:prstGeom prst="rect">
          <a:avLst/>
        </a:prstGeom>
        <a:solidFill>
          <a:srgbClr val="FFFF99"/>
        </a:solidFill>
        <a:ln w="9525" cmpd="sng">
          <a:noFill/>
        </a:ln>
      </xdr:spPr>
      <xdr:txBody>
        <a:bodyPr vertOverflow="clip" wrap="square"/>
        <a:p>
          <a:pPr algn="l">
            <a:defRPr/>
          </a:pPr>
          <a:r>
            <a:rPr lang="en-US" cap="none" sz="800" b="0" i="0" u="none" baseline="0">
              <a:latin typeface="Arial"/>
              <a:ea typeface="Arial"/>
              <a:cs typeface="Arial"/>
            </a:rPr>
            <a:t>Einschränkung der Demoversion
In dieser Demoversion sind die Zeilen 13-14 bereits mit Bauteilwerten belegt und können nicht editiert werden. Ab Zeile 15 können in dieser Demoversion Werte eingegeben und berechnet werden. Die Datenbank ist auf den Werkstoff PE-HD beschränkt. Ein benutzerdefinierter Werkstoff kann mit einem eingegrenzten Wertebereich angelegt werden. In der Kaufversion können alle Bauteilwerte individuell eingegeben werden. Die Datenbank umfasst in der Kaufversion 12 Kunststoffe und kann beliebig um benutzerdefinierte Werkstoffe erweitert werden. Dieses Kommentarfeld können Sie durch Klick und "Entf-Taste" entfernen.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26</xdr:row>
      <xdr:rowOff>0</xdr:rowOff>
    </xdr:from>
    <xdr:to>
      <xdr:col>3</xdr:col>
      <xdr:colOff>333375</xdr:colOff>
      <xdr:row>26</xdr:row>
      <xdr:rowOff>0</xdr:rowOff>
    </xdr:to>
    <xdr:sp>
      <xdr:nvSpPr>
        <xdr:cNvPr id="1" name="Line 1"/>
        <xdr:cNvSpPr>
          <a:spLocks/>
        </xdr:cNvSpPr>
      </xdr:nvSpPr>
      <xdr:spPr>
        <a:xfrm flipH="1" flipV="1">
          <a:off x="2009775" y="4181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26</xdr:row>
      <xdr:rowOff>0</xdr:rowOff>
    </xdr:from>
    <xdr:to>
      <xdr:col>5</xdr:col>
      <xdr:colOff>0</xdr:colOff>
      <xdr:row>26</xdr:row>
      <xdr:rowOff>0</xdr:rowOff>
    </xdr:to>
    <xdr:sp>
      <xdr:nvSpPr>
        <xdr:cNvPr id="2" name="Line 2"/>
        <xdr:cNvSpPr>
          <a:spLocks/>
        </xdr:cNvSpPr>
      </xdr:nvSpPr>
      <xdr:spPr>
        <a:xfrm flipV="1">
          <a:off x="2647950" y="4181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26</xdr:row>
      <xdr:rowOff>0</xdr:rowOff>
    </xdr:from>
    <xdr:to>
      <xdr:col>6</xdr:col>
      <xdr:colOff>9525</xdr:colOff>
      <xdr:row>26</xdr:row>
      <xdr:rowOff>0</xdr:rowOff>
    </xdr:to>
    <xdr:sp>
      <xdr:nvSpPr>
        <xdr:cNvPr id="3" name="Line 3"/>
        <xdr:cNvSpPr>
          <a:spLocks/>
        </xdr:cNvSpPr>
      </xdr:nvSpPr>
      <xdr:spPr>
        <a:xfrm flipH="1" flipV="1">
          <a:off x="3143250" y="4181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26</xdr:row>
      <xdr:rowOff>0</xdr:rowOff>
    </xdr:from>
    <xdr:to>
      <xdr:col>6</xdr:col>
      <xdr:colOff>152400</xdr:colOff>
      <xdr:row>26</xdr:row>
      <xdr:rowOff>0</xdr:rowOff>
    </xdr:to>
    <xdr:sp>
      <xdr:nvSpPr>
        <xdr:cNvPr id="4" name="Line 4"/>
        <xdr:cNvSpPr>
          <a:spLocks/>
        </xdr:cNvSpPr>
      </xdr:nvSpPr>
      <xdr:spPr>
        <a:xfrm flipH="1" flipV="1">
          <a:off x="3286125" y="4181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26</xdr:row>
      <xdr:rowOff>0</xdr:rowOff>
    </xdr:from>
    <xdr:to>
      <xdr:col>4</xdr:col>
      <xdr:colOff>400050</xdr:colOff>
      <xdr:row>26</xdr:row>
      <xdr:rowOff>0</xdr:rowOff>
    </xdr:to>
    <xdr:sp>
      <xdr:nvSpPr>
        <xdr:cNvPr id="5" name="Line 5"/>
        <xdr:cNvSpPr>
          <a:spLocks/>
        </xdr:cNvSpPr>
      </xdr:nvSpPr>
      <xdr:spPr>
        <a:xfrm flipV="1">
          <a:off x="2562225" y="4181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27</xdr:row>
      <xdr:rowOff>0</xdr:rowOff>
    </xdr:from>
    <xdr:to>
      <xdr:col>3</xdr:col>
      <xdr:colOff>114300</xdr:colOff>
      <xdr:row>27</xdr:row>
      <xdr:rowOff>0</xdr:rowOff>
    </xdr:to>
    <xdr:grpSp>
      <xdr:nvGrpSpPr>
        <xdr:cNvPr id="6" name="Group 7"/>
        <xdr:cNvGrpSpPr>
          <a:grpSpLocks/>
        </xdr:cNvGrpSpPr>
      </xdr:nvGrpSpPr>
      <xdr:grpSpPr>
        <a:xfrm>
          <a:off x="1790700" y="4343400"/>
          <a:ext cx="0" cy="0"/>
          <a:chOff x="188" y="461"/>
          <a:chExt cx="0" cy="0"/>
        </a:xfrm>
        <a:solidFill>
          <a:srgbClr val="FFFFFF"/>
        </a:solidFill>
      </xdr:grpSpPr>
      <xdr:sp>
        <xdr:nvSpPr>
          <xdr:cNvPr id="7" name="Line 8"/>
          <xdr:cNvSpPr>
            <a:spLocks/>
          </xdr:cNvSpPr>
        </xdr:nvSpPr>
        <xdr:spPr>
          <a:xfrm flipV="1">
            <a:off x="188" y="461"/>
            <a:ext cx="0" cy="0"/>
          </a:xfrm>
          <a:prstGeom prst="line">
            <a:avLst/>
          </a:prstGeom>
          <a:noFill/>
          <a:ln w="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Line 9"/>
          <xdr:cNvSpPr>
            <a:spLocks/>
          </xdr:cNvSpPr>
        </xdr:nvSpPr>
        <xdr:spPr>
          <a:xfrm>
            <a:off x="188" y="461"/>
            <a:ext cx="0" cy="0"/>
          </a:xfrm>
          <a:prstGeom prst="line">
            <a:avLst/>
          </a:prstGeom>
          <a:noFill/>
          <a:ln w="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Line 10"/>
          <xdr:cNvSpPr>
            <a:spLocks/>
          </xdr:cNvSpPr>
        </xdr:nvSpPr>
        <xdr:spPr>
          <a:xfrm>
            <a:off x="188" y="461"/>
            <a:ext cx="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26</xdr:row>
      <xdr:rowOff>0</xdr:rowOff>
    </xdr:from>
    <xdr:to>
      <xdr:col>12</xdr:col>
      <xdr:colOff>0</xdr:colOff>
      <xdr:row>26</xdr:row>
      <xdr:rowOff>0</xdr:rowOff>
    </xdr:to>
    <xdr:sp>
      <xdr:nvSpPr>
        <xdr:cNvPr id="10" name="Line 13"/>
        <xdr:cNvSpPr>
          <a:spLocks/>
        </xdr:cNvSpPr>
      </xdr:nvSpPr>
      <xdr:spPr>
        <a:xfrm flipV="1">
          <a:off x="6096000" y="4181475"/>
          <a:ext cx="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26</xdr:row>
      <xdr:rowOff>0</xdr:rowOff>
    </xdr:from>
    <xdr:to>
      <xdr:col>12</xdr:col>
      <xdr:colOff>0</xdr:colOff>
      <xdr:row>26</xdr:row>
      <xdr:rowOff>0</xdr:rowOff>
    </xdr:to>
    <xdr:sp>
      <xdr:nvSpPr>
        <xdr:cNvPr id="11" name="Line 14"/>
        <xdr:cNvSpPr>
          <a:spLocks/>
        </xdr:cNvSpPr>
      </xdr:nvSpPr>
      <xdr:spPr>
        <a:xfrm flipV="1">
          <a:off x="6096000" y="4181475"/>
          <a:ext cx="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26</xdr:row>
      <xdr:rowOff>0</xdr:rowOff>
    </xdr:from>
    <xdr:to>
      <xdr:col>4</xdr:col>
      <xdr:colOff>485775</xdr:colOff>
      <xdr:row>26</xdr:row>
      <xdr:rowOff>0</xdr:rowOff>
    </xdr:to>
    <xdr:sp>
      <xdr:nvSpPr>
        <xdr:cNvPr id="12" name="Line 17"/>
        <xdr:cNvSpPr>
          <a:spLocks/>
        </xdr:cNvSpPr>
      </xdr:nvSpPr>
      <xdr:spPr>
        <a:xfrm flipH="1">
          <a:off x="2647950" y="4181475"/>
          <a:ext cx="0" cy="0"/>
        </a:xfrm>
        <a:prstGeom prst="line">
          <a:avLst/>
        </a:prstGeom>
        <a:noFill/>
        <a:ln w="0"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26</xdr:row>
      <xdr:rowOff>0</xdr:rowOff>
    </xdr:from>
    <xdr:to>
      <xdr:col>12</xdr:col>
      <xdr:colOff>0</xdr:colOff>
      <xdr:row>26</xdr:row>
      <xdr:rowOff>0</xdr:rowOff>
    </xdr:to>
    <xdr:sp>
      <xdr:nvSpPr>
        <xdr:cNvPr id="13" name="Line 23"/>
        <xdr:cNvSpPr>
          <a:spLocks/>
        </xdr:cNvSpPr>
      </xdr:nvSpPr>
      <xdr:spPr>
        <a:xfrm flipH="1" flipV="1">
          <a:off x="6096000" y="4181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26</xdr:row>
      <xdr:rowOff>0</xdr:rowOff>
    </xdr:from>
    <xdr:to>
      <xdr:col>12</xdr:col>
      <xdr:colOff>0</xdr:colOff>
      <xdr:row>26</xdr:row>
      <xdr:rowOff>0</xdr:rowOff>
    </xdr:to>
    <xdr:sp>
      <xdr:nvSpPr>
        <xdr:cNvPr id="14" name="Line 24"/>
        <xdr:cNvSpPr>
          <a:spLocks/>
        </xdr:cNvSpPr>
      </xdr:nvSpPr>
      <xdr:spPr>
        <a:xfrm flipH="1" flipV="1">
          <a:off x="6096000" y="4181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657225</xdr:colOff>
      <xdr:row>26</xdr:row>
      <xdr:rowOff>0</xdr:rowOff>
    </xdr:from>
    <xdr:to>
      <xdr:col>1</xdr:col>
      <xdr:colOff>657225</xdr:colOff>
      <xdr:row>26</xdr:row>
      <xdr:rowOff>0</xdr:rowOff>
    </xdr:to>
    <xdr:sp>
      <xdr:nvSpPr>
        <xdr:cNvPr id="15" name="Line 25"/>
        <xdr:cNvSpPr>
          <a:spLocks/>
        </xdr:cNvSpPr>
      </xdr:nvSpPr>
      <xdr:spPr>
        <a:xfrm>
          <a:off x="866775" y="4181475"/>
          <a:ext cx="0" cy="0"/>
        </a:xfrm>
        <a:prstGeom prst="line">
          <a:avLst/>
        </a:prstGeom>
        <a:noFill/>
        <a:ln w="1270"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26</xdr:row>
      <xdr:rowOff>0</xdr:rowOff>
    </xdr:from>
    <xdr:to>
      <xdr:col>1</xdr:col>
      <xdr:colOff>476250</xdr:colOff>
      <xdr:row>26</xdr:row>
      <xdr:rowOff>0</xdr:rowOff>
    </xdr:to>
    <xdr:sp>
      <xdr:nvSpPr>
        <xdr:cNvPr id="16" name="Line 26"/>
        <xdr:cNvSpPr>
          <a:spLocks/>
        </xdr:cNvSpPr>
      </xdr:nvSpPr>
      <xdr:spPr>
        <a:xfrm flipV="1">
          <a:off x="685800" y="4181475"/>
          <a:ext cx="0" cy="0"/>
        </a:xfrm>
        <a:prstGeom prst="line">
          <a:avLst/>
        </a:prstGeom>
        <a:noFill/>
        <a:ln w="6350"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26</xdr:row>
      <xdr:rowOff>0</xdr:rowOff>
    </xdr:from>
    <xdr:to>
      <xdr:col>1</xdr:col>
      <xdr:colOff>476250</xdr:colOff>
      <xdr:row>26</xdr:row>
      <xdr:rowOff>0</xdr:rowOff>
    </xdr:to>
    <xdr:sp>
      <xdr:nvSpPr>
        <xdr:cNvPr id="17" name="Line 27"/>
        <xdr:cNvSpPr>
          <a:spLocks/>
        </xdr:cNvSpPr>
      </xdr:nvSpPr>
      <xdr:spPr>
        <a:xfrm flipH="1" flipV="1">
          <a:off x="685800" y="4181475"/>
          <a:ext cx="0" cy="0"/>
        </a:xfrm>
        <a:prstGeom prst="line">
          <a:avLst/>
        </a:prstGeom>
        <a:noFill/>
        <a:ln w="6350"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26</xdr:row>
      <xdr:rowOff>0</xdr:rowOff>
    </xdr:from>
    <xdr:to>
      <xdr:col>3</xdr:col>
      <xdr:colOff>419100</xdr:colOff>
      <xdr:row>26</xdr:row>
      <xdr:rowOff>0</xdr:rowOff>
    </xdr:to>
    <xdr:sp>
      <xdr:nvSpPr>
        <xdr:cNvPr id="18" name="Line 38"/>
        <xdr:cNvSpPr>
          <a:spLocks/>
        </xdr:cNvSpPr>
      </xdr:nvSpPr>
      <xdr:spPr>
        <a:xfrm flipH="1" flipV="1">
          <a:off x="2095500" y="4181475"/>
          <a:ext cx="0" cy="0"/>
        </a:xfrm>
        <a:prstGeom prst="line">
          <a:avLst/>
        </a:prstGeom>
        <a:noFill/>
        <a:ln w="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0</xdr:rowOff>
    </xdr:from>
    <xdr:to>
      <xdr:col>4</xdr:col>
      <xdr:colOff>0</xdr:colOff>
      <xdr:row>26</xdr:row>
      <xdr:rowOff>0</xdr:rowOff>
    </xdr:to>
    <xdr:sp>
      <xdr:nvSpPr>
        <xdr:cNvPr id="19" name="Line 40"/>
        <xdr:cNvSpPr>
          <a:spLocks/>
        </xdr:cNvSpPr>
      </xdr:nvSpPr>
      <xdr:spPr>
        <a:xfrm flipV="1">
          <a:off x="2162175" y="4181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26</xdr:row>
      <xdr:rowOff>0</xdr:rowOff>
    </xdr:from>
    <xdr:to>
      <xdr:col>3</xdr:col>
      <xdr:colOff>323850</xdr:colOff>
      <xdr:row>26</xdr:row>
      <xdr:rowOff>0</xdr:rowOff>
    </xdr:to>
    <xdr:sp>
      <xdr:nvSpPr>
        <xdr:cNvPr id="20" name="Line 42"/>
        <xdr:cNvSpPr>
          <a:spLocks/>
        </xdr:cNvSpPr>
      </xdr:nvSpPr>
      <xdr:spPr>
        <a:xfrm flipV="1">
          <a:off x="2000250" y="4181475"/>
          <a:ext cx="0" cy="0"/>
        </a:xfrm>
        <a:prstGeom prst="line">
          <a:avLst/>
        </a:prstGeom>
        <a:noFill/>
        <a:ln w="3810"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26</xdr:row>
      <xdr:rowOff>0</xdr:rowOff>
    </xdr:from>
    <xdr:to>
      <xdr:col>1</xdr:col>
      <xdr:colOff>914400</xdr:colOff>
      <xdr:row>26</xdr:row>
      <xdr:rowOff>0</xdr:rowOff>
    </xdr:to>
    <xdr:sp>
      <xdr:nvSpPr>
        <xdr:cNvPr id="21" name="Line 43"/>
        <xdr:cNvSpPr>
          <a:spLocks/>
        </xdr:cNvSpPr>
      </xdr:nvSpPr>
      <xdr:spPr>
        <a:xfrm>
          <a:off x="1123950" y="4181475"/>
          <a:ext cx="0" cy="0"/>
        </a:xfrm>
        <a:prstGeom prst="line">
          <a:avLst/>
        </a:prstGeom>
        <a:noFill/>
        <a:ln w="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17</xdr:row>
      <xdr:rowOff>0</xdr:rowOff>
    </xdr:from>
    <xdr:to>
      <xdr:col>3</xdr:col>
      <xdr:colOff>333375</xdr:colOff>
      <xdr:row>17</xdr:row>
      <xdr:rowOff>0</xdr:rowOff>
    </xdr:to>
    <xdr:sp>
      <xdr:nvSpPr>
        <xdr:cNvPr id="1" name="Line 1"/>
        <xdr:cNvSpPr>
          <a:spLocks/>
        </xdr:cNvSpPr>
      </xdr:nvSpPr>
      <xdr:spPr>
        <a:xfrm flipH="1" flipV="1">
          <a:off x="2009775" y="3038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xdr:row>
      <xdr:rowOff>0</xdr:rowOff>
    </xdr:from>
    <xdr:to>
      <xdr:col>5</xdr:col>
      <xdr:colOff>0</xdr:colOff>
      <xdr:row>17</xdr:row>
      <xdr:rowOff>0</xdr:rowOff>
    </xdr:to>
    <xdr:sp>
      <xdr:nvSpPr>
        <xdr:cNvPr id="2" name="Line 2"/>
        <xdr:cNvSpPr>
          <a:spLocks/>
        </xdr:cNvSpPr>
      </xdr:nvSpPr>
      <xdr:spPr>
        <a:xfrm flipV="1">
          <a:off x="2647950" y="3038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17</xdr:row>
      <xdr:rowOff>0</xdr:rowOff>
    </xdr:from>
    <xdr:to>
      <xdr:col>6</xdr:col>
      <xdr:colOff>9525</xdr:colOff>
      <xdr:row>17</xdr:row>
      <xdr:rowOff>0</xdr:rowOff>
    </xdr:to>
    <xdr:sp>
      <xdr:nvSpPr>
        <xdr:cNvPr id="3" name="Line 3"/>
        <xdr:cNvSpPr>
          <a:spLocks/>
        </xdr:cNvSpPr>
      </xdr:nvSpPr>
      <xdr:spPr>
        <a:xfrm flipH="1" flipV="1">
          <a:off x="3143250" y="3038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17</xdr:row>
      <xdr:rowOff>0</xdr:rowOff>
    </xdr:from>
    <xdr:to>
      <xdr:col>6</xdr:col>
      <xdr:colOff>152400</xdr:colOff>
      <xdr:row>17</xdr:row>
      <xdr:rowOff>0</xdr:rowOff>
    </xdr:to>
    <xdr:sp>
      <xdr:nvSpPr>
        <xdr:cNvPr id="4" name="Line 4"/>
        <xdr:cNvSpPr>
          <a:spLocks/>
        </xdr:cNvSpPr>
      </xdr:nvSpPr>
      <xdr:spPr>
        <a:xfrm flipH="1" flipV="1">
          <a:off x="3286125" y="3038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17</xdr:row>
      <xdr:rowOff>0</xdr:rowOff>
    </xdr:from>
    <xdr:to>
      <xdr:col>4</xdr:col>
      <xdr:colOff>400050</xdr:colOff>
      <xdr:row>17</xdr:row>
      <xdr:rowOff>0</xdr:rowOff>
    </xdr:to>
    <xdr:sp>
      <xdr:nvSpPr>
        <xdr:cNvPr id="5" name="Line 5"/>
        <xdr:cNvSpPr>
          <a:spLocks/>
        </xdr:cNvSpPr>
      </xdr:nvSpPr>
      <xdr:spPr>
        <a:xfrm flipV="1">
          <a:off x="2562225" y="3038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22</xdr:row>
      <xdr:rowOff>0</xdr:rowOff>
    </xdr:from>
    <xdr:to>
      <xdr:col>3</xdr:col>
      <xdr:colOff>114300</xdr:colOff>
      <xdr:row>22</xdr:row>
      <xdr:rowOff>0</xdr:rowOff>
    </xdr:to>
    <xdr:grpSp>
      <xdr:nvGrpSpPr>
        <xdr:cNvPr id="6" name="Group 7"/>
        <xdr:cNvGrpSpPr>
          <a:grpSpLocks/>
        </xdr:cNvGrpSpPr>
      </xdr:nvGrpSpPr>
      <xdr:grpSpPr>
        <a:xfrm>
          <a:off x="1790700" y="3886200"/>
          <a:ext cx="0" cy="0"/>
          <a:chOff x="188" y="461"/>
          <a:chExt cx="0" cy="0"/>
        </a:xfrm>
        <a:solidFill>
          <a:srgbClr val="FFFFFF"/>
        </a:solidFill>
      </xdr:grpSpPr>
      <xdr:sp>
        <xdr:nvSpPr>
          <xdr:cNvPr id="7" name="Line 8"/>
          <xdr:cNvSpPr>
            <a:spLocks/>
          </xdr:cNvSpPr>
        </xdr:nvSpPr>
        <xdr:spPr>
          <a:xfrm flipV="1">
            <a:off x="188" y="461"/>
            <a:ext cx="0" cy="0"/>
          </a:xfrm>
          <a:prstGeom prst="line">
            <a:avLst/>
          </a:prstGeom>
          <a:noFill/>
          <a:ln w="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Line 9"/>
          <xdr:cNvSpPr>
            <a:spLocks/>
          </xdr:cNvSpPr>
        </xdr:nvSpPr>
        <xdr:spPr>
          <a:xfrm>
            <a:off x="188" y="461"/>
            <a:ext cx="0" cy="0"/>
          </a:xfrm>
          <a:prstGeom prst="line">
            <a:avLst/>
          </a:prstGeom>
          <a:noFill/>
          <a:ln w="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Line 10"/>
          <xdr:cNvSpPr>
            <a:spLocks/>
          </xdr:cNvSpPr>
        </xdr:nvSpPr>
        <xdr:spPr>
          <a:xfrm>
            <a:off x="188" y="461"/>
            <a:ext cx="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0</xdr:colOff>
      <xdr:row>17</xdr:row>
      <xdr:rowOff>0</xdr:rowOff>
    </xdr:from>
    <xdr:to>
      <xdr:col>11</xdr:col>
      <xdr:colOff>0</xdr:colOff>
      <xdr:row>17</xdr:row>
      <xdr:rowOff>0</xdr:rowOff>
    </xdr:to>
    <xdr:sp>
      <xdr:nvSpPr>
        <xdr:cNvPr id="10" name="Line 13"/>
        <xdr:cNvSpPr>
          <a:spLocks/>
        </xdr:cNvSpPr>
      </xdr:nvSpPr>
      <xdr:spPr>
        <a:xfrm flipV="1">
          <a:off x="6067425" y="3038475"/>
          <a:ext cx="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11" name="Line 14"/>
        <xdr:cNvSpPr>
          <a:spLocks/>
        </xdr:cNvSpPr>
      </xdr:nvSpPr>
      <xdr:spPr>
        <a:xfrm flipV="1">
          <a:off x="6067425" y="3038475"/>
          <a:ext cx="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17</xdr:row>
      <xdr:rowOff>0</xdr:rowOff>
    </xdr:from>
    <xdr:to>
      <xdr:col>4</xdr:col>
      <xdr:colOff>19050</xdr:colOff>
      <xdr:row>17</xdr:row>
      <xdr:rowOff>0</xdr:rowOff>
    </xdr:to>
    <xdr:sp>
      <xdr:nvSpPr>
        <xdr:cNvPr id="12" name="Line 15"/>
        <xdr:cNvSpPr>
          <a:spLocks/>
        </xdr:cNvSpPr>
      </xdr:nvSpPr>
      <xdr:spPr>
        <a:xfrm flipV="1">
          <a:off x="2181225" y="3038475"/>
          <a:ext cx="0" cy="0"/>
        </a:xfrm>
        <a:prstGeom prst="line">
          <a:avLst/>
        </a:prstGeom>
        <a:noFill/>
        <a:ln w="3810"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17</xdr:row>
      <xdr:rowOff>0</xdr:rowOff>
    </xdr:from>
    <xdr:to>
      <xdr:col>4</xdr:col>
      <xdr:colOff>485775</xdr:colOff>
      <xdr:row>17</xdr:row>
      <xdr:rowOff>0</xdr:rowOff>
    </xdr:to>
    <xdr:sp>
      <xdr:nvSpPr>
        <xdr:cNvPr id="13" name="Line 17"/>
        <xdr:cNvSpPr>
          <a:spLocks/>
        </xdr:cNvSpPr>
      </xdr:nvSpPr>
      <xdr:spPr>
        <a:xfrm flipH="1">
          <a:off x="2647950" y="3038475"/>
          <a:ext cx="0" cy="0"/>
        </a:xfrm>
        <a:prstGeom prst="line">
          <a:avLst/>
        </a:prstGeom>
        <a:noFill/>
        <a:ln w="0"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14" name="Line 23"/>
        <xdr:cNvSpPr>
          <a:spLocks/>
        </xdr:cNvSpPr>
      </xdr:nvSpPr>
      <xdr:spPr>
        <a:xfrm flipH="1" flipV="1">
          <a:off x="6067425" y="3038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15" name="Line 24"/>
        <xdr:cNvSpPr>
          <a:spLocks/>
        </xdr:cNvSpPr>
      </xdr:nvSpPr>
      <xdr:spPr>
        <a:xfrm flipH="1" flipV="1">
          <a:off x="6067425" y="3038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657225</xdr:colOff>
      <xdr:row>17</xdr:row>
      <xdr:rowOff>0</xdr:rowOff>
    </xdr:from>
    <xdr:to>
      <xdr:col>1</xdr:col>
      <xdr:colOff>657225</xdr:colOff>
      <xdr:row>17</xdr:row>
      <xdr:rowOff>0</xdr:rowOff>
    </xdr:to>
    <xdr:sp>
      <xdr:nvSpPr>
        <xdr:cNvPr id="16" name="Line 25"/>
        <xdr:cNvSpPr>
          <a:spLocks/>
        </xdr:cNvSpPr>
      </xdr:nvSpPr>
      <xdr:spPr>
        <a:xfrm>
          <a:off x="866775" y="3038475"/>
          <a:ext cx="0" cy="0"/>
        </a:xfrm>
        <a:prstGeom prst="line">
          <a:avLst/>
        </a:prstGeom>
        <a:noFill/>
        <a:ln w="1270"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17</xdr:row>
      <xdr:rowOff>0</xdr:rowOff>
    </xdr:from>
    <xdr:to>
      <xdr:col>1</xdr:col>
      <xdr:colOff>476250</xdr:colOff>
      <xdr:row>17</xdr:row>
      <xdr:rowOff>0</xdr:rowOff>
    </xdr:to>
    <xdr:sp>
      <xdr:nvSpPr>
        <xdr:cNvPr id="17" name="Line 26"/>
        <xdr:cNvSpPr>
          <a:spLocks/>
        </xdr:cNvSpPr>
      </xdr:nvSpPr>
      <xdr:spPr>
        <a:xfrm flipV="1">
          <a:off x="685800" y="3038475"/>
          <a:ext cx="0" cy="0"/>
        </a:xfrm>
        <a:prstGeom prst="line">
          <a:avLst/>
        </a:prstGeom>
        <a:noFill/>
        <a:ln w="6350"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17</xdr:row>
      <xdr:rowOff>0</xdr:rowOff>
    </xdr:from>
    <xdr:to>
      <xdr:col>1</xdr:col>
      <xdr:colOff>476250</xdr:colOff>
      <xdr:row>17</xdr:row>
      <xdr:rowOff>0</xdr:rowOff>
    </xdr:to>
    <xdr:sp>
      <xdr:nvSpPr>
        <xdr:cNvPr id="18" name="Line 27"/>
        <xdr:cNvSpPr>
          <a:spLocks/>
        </xdr:cNvSpPr>
      </xdr:nvSpPr>
      <xdr:spPr>
        <a:xfrm flipH="1" flipV="1">
          <a:off x="685800" y="3038475"/>
          <a:ext cx="0" cy="0"/>
        </a:xfrm>
        <a:prstGeom prst="line">
          <a:avLst/>
        </a:prstGeom>
        <a:noFill/>
        <a:ln w="6350"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314325</xdr:colOff>
      <xdr:row>22</xdr:row>
      <xdr:rowOff>0</xdr:rowOff>
    </xdr:from>
    <xdr:to>
      <xdr:col>3</xdr:col>
      <xdr:colOff>314325</xdr:colOff>
      <xdr:row>22</xdr:row>
      <xdr:rowOff>0</xdr:rowOff>
    </xdr:to>
    <xdr:sp>
      <xdr:nvSpPr>
        <xdr:cNvPr id="19" name="Line 30"/>
        <xdr:cNvSpPr>
          <a:spLocks/>
        </xdr:cNvSpPr>
      </xdr:nvSpPr>
      <xdr:spPr>
        <a:xfrm>
          <a:off x="1990725" y="3886200"/>
          <a:ext cx="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22</xdr:row>
      <xdr:rowOff>0</xdr:rowOff>
    </xdr:from>
    <xdr:to>
      <xdr:col>4</xdr:col>
      <xdr:colOff>276225</xdr:colOff>
      <xdr:row>22</xdr:row>
      <xdr:rowOff>0</xdr:rowOff>
    </xdr:to>
    <xdr:sp>
      <xdr:nvSpPr>
        <xdr:cNvPr id="20" name="Line 31"/>
        <xdr:cNvSpPr>
          <a:spLocks/>
        </xdr:cNvSpPr>
      </xdr:nvSpPr>
      <xdr:spPr>
        <a:xfrm>
          <a:off x="2438400" y="3886200"/>
          <a:ext cx="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17</xdr:row>
      <xdr:rowOff>0</xdr:rowOff>
    </xdr:from>
    <xdr:to>
      <xdr:col>3</xdr:col>
      <xdr:colOff>419100</xdr:colOff>
      <xdr:row>17</xdr:row>
      <xdr:rowOff>0</xdr:rowOff>
    </xdr:to>
    <xdr:sp>
      <xdr:nvSpPr>
        <xdr:cNvPr id="21" name="Line 38"/>
        <xdr:cNvSpPr>
          <a:spLocks/>
        </xdr:cNvSpPr>
      </xdr:nvSpPr>
      <xdr:spPr>
        <a:xfrm flipH="1" flipV="1">
          <a:off x="2095500" y="3038475"/>
          <a:ext cx="0" cy="0"/>
        </a:xfrm>
        <a:prstGeom prst="line">
          <a:avLst/>
        </a:prstGeom>
        <a:noFill/>
        <a:ln w="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xdr:row>
      <xdr:rowOff>0</xdr:rowOff>
    </xdr:from>
    <xdr:to>
      <xdr:col>4</xdr:col>
      <xdr:colOff>0</xdr:colOff>
      <xdr:row>17</xdr:row>
      <xdr:rowOff>0</xdr:rowOff>
    </xdr:to>
    <xdr:sp>
      <xdr:nvSpPr>
        <xdr:cNvPr id="22" name="Line 39"/>
        <xdr:cNvSpPr>
          <a:spLocks/>
        </xdr:cNvSpPr>
      </xdr:nvSpPr>
      <xdr:spPr>
        <a:xfrm flipV="1">
          <a:off x="2162175" y="3038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17</xdr:row>
      <xdr:rowOff>0</xdr:rowOff>
    </xdr:from>
    <xdr:to>
      <xdr:col>4</xdr:col>
      <xdr:colOff>28575</xdr:colOff>
      <xdr:row>17</xdr:row>
      <xdr:rowOff>0</xdr:rowOff>
    </xdr:to>
    <xdr:sp>
      <xdr:nvSpPr>
        <xdr:cNvPr id="23" name="Line 40"/>
        <xdr:cNvSpPr>
          <a:spLocks/>
        </xdr:cNvSpPr>
      </xdr:nvSpPr>
      <xdr:spPr>
        <a:xfrm flipV="1">
          <a:off x="2190750" y="3038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17</xdr:row>
      <xdr:rowOff>0</xdr:rowOff>
    </xdr:from>
    <xdr:to>
      <xdr:col>3</xdr:col>
      <xdr:colOff>323850</xdr:colOff>
      <xdr:row>17</xdr:row>
      <xdr:rowOff>0</xdr:rowOff>
    </xdr:to>
    <xdr:sp>
      <xdr:nvSpPr>
        <xdr:cNvPr id="24" name="Line 41"/>
        <xdr:cNvSpPr>
          <a:spLocks/>
        </xdr:cNvSpPr>
      </xdr:nvSpPr>
      <xdr:spPr>
        <a:xfrm flipV="1">
          <a:off x="2000250" y="3038475"/>
          <a:ext cx="0" cy="0"/>
        </a:xfrm>
        <a:prstGeom prst="line">
          <a:avLst/>
        </a:prstGeom>
        <a:noFill/>
        <a:ln w="3810"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17</xdr:row>
      <xdr:rowOff>0</xdr:rowOff>
    </xdr:from>
    <xdr:to>
      <xdr:col>1</xdr:col>
      <xdr:colOff>914400</xdr:colOff>
      <xdr:row>17</xdr:row>
      <xdr:rowOff>0</xdr:rowOff>
    </xdr:to>
    <xdr:sp>
      <xdr:nvSpPr>
        <xdr:cNvPr id="25" name="Line 42"/>
        <xdr:cNvSpPr>
          <a:spLocks/>
        </xdr:cNvSpPr>
      </xdr:nvSpPr>
      <xdr:spPr>
        <a:xfrm>
          <a:off x="1123950" y="3038475"/>
          <a:ext cx="0" cy="0"/>
        </a:xfrm>
        <a:prstGeom prst="line">
          <a:avLst/>
        </a:prstGeom>
        <a:noFill/>
        <a:ln w="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tabColor indexed="34"/>
  </sheetPr>
  <dimension ref="A1:BN177"/>
  <sheetViews>
    <sheetView showGridLines="0" showRowColHeaders="0" tabSelected="1" zoomScale="140" zoomScaleNormal="140" workbookViewId="0" topLeftCell="A1">
      <selection activeCell="B9" sqref="B9"/>
    </sheetView>
  </sheetViews>
  <sheetFormatPr defaultColWidth="11.421875" defaultRowHeight="12.75"/>
  <cols>
    <col min="1" max="1" width="3.140625" style="23" customWidth="1"/>
    <col min="2" max="2" width="14.421875" style="16" customWidth="1"/>
    <col min="3" max="6" width="7.28125" style="16" customWidth="1"/>
    <col min="7" max="11" width="7.28125" style="17" customWidth="1"/>
    <col min="12" max="12" width="8.00390625" style="17" customWidth="1"/>
    <col min="13" max="13" width="6.7109375" style="105" customWidth="1"/>
    <col min="14" max="14" width="22.421875" style="113" hidden="1" customWidth="1"/>
    <col min="15" max="15" width="5.140625" style="16" customWidth="1"/>
    <col min="16" max="16" width="10.28125" style="16" customWidth="1"/>
    <col min="17" max="17" width="22.140625" style="11" customWidth="1"/>
    <col min="18" max="18" width="28.140625" style="12" customWidth="1"/>
    <col min="19" max="19" width="5.7109375" style="11" customWidth="1"/>
    <col min="20" max="20" width="7.00390625" style="11" customWidth="1"/>
    <col min="21" max="21" width="9.140625" style="11" customWidth="1"/>
    <col min="22" max="23" width="5.7109375" style="11" customWidth="1"/>
    <col min="24" max="26" width="10.28125" style="11" customWidth="1"/>
    <col min="27" max="39" width="5.7109375" style="12" customWidth="1"/>
    <col min="40" max="66" width="5.7109375" style="13" customWidth="1"/>
    <col min="67" max="16384" width="10.28125" style="16" customWidth="1"/>
  </cols>
  <sheetData>
    <row r="1" spans="1:66" s="7" customFormat="1" ht="13.5" customHeight="1">
      <c r="A1" s="35">
        <v>1</v>
      </c>
      <c r="B1" s="953" t="s">
        <v>9</v>
      </c>
      <c r="C1" s="954"/>
      <c r="D1" s="944"/>
      <c r="E1" s="945"/>
      <c r="F1" s="945"/>
      <c r="G1" s="945"/>
      <c r="H1" s="945"/>
      <c r="I1" s="945"/>
      <c r="J1" s="945"/>
      <c r="K1" s="945"/>
      <c r="L1" s="415"/>
      <c r="M1" s="331"/>
      <c r="N1" s="324"/>
      <c r="Q1" s="8"/>
      <c r="R1" s="9"/>
      <c r="S1" s="8"/>
      <c r="T1" s="8"/>
      <c r="U1" s="8"/>
      <c r="V1" s="8"/>
      <c r="W1" s="8"/>
      <c r="X1" s="8"/>
      <c r="Y1" s="8"/>
      <c r="Z1" s="8"/>
      <c r="AA1" s="9"/>
      <c r="AB1" s="9"/>
      <c r="AC1" s="9"/>
      <c r="AD1" s="9"/>
      <c r="AE1" s="9"/>
      <c r="AF1" s="9"/>
      <c r="AG1" s="9"/>
      <c r="AH1" s="9"/>
      <c r="AI1" s="9"/>
      <c r="AJ1" s="9"/>
      <c r="AK1" s="9"/>
      <c r="AL1" s="9"/>
      <c r="AM1" s="9"/>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row>
    <row r="2" spans="1:13" ht="12" customHeight="1">
      <c r="A2" s="36">
        <v>2</v>
      </c>
      <c r="B2" s="37" t="s">
        <v>38</v>
      </c>
      <c r="C2" s="332"/>
      <c r="D2" s="950" t="s">
        <v>151</v>
      </c>
      <c r="E2" s="951"/>
      <c r="F2" s="951"/>
      <c r="G2" s="951"/>
      <c r="H2" s="951"/>
      <c r="I2" s="951"/>
      <c r="J2" s="951"/>
      <c r="K2" s="951"/>
      <c r="L2" s="952"/>
      <c r="M2" s="331"/>
    </row>
    <row r="3" spans="1:14" ht="12" customHeight="1">
      <c r="A3" s="36">
        <v>3</v>
      </c>
      <c r="B3" s="38" t="s">
        <v>272</v>
      </c>
      <c r="C3" s="333"/>
      <c r="D3" s="946" t="s">
        <v>152</v>
      </c>
      <c r="E3" s="761"/>
      <c r="F3" s="761"/>
      <c r="G3" s="761"/>
      <c r="H3" s="761"/>
      <c r="I3" s="761"/>
      <c r="J3" s="761"/>
      <c r="K3" s="761"/>
      <c r="L3" s="762"/>
      <c r="M3" s="335"/>
      <c r="N3" s="127" t="s">
        <v>33</v>
      </c>
    </row>
    <row r="4" spans="1:14" ht="12" customHeight="1">
      <c r="A4" s="36">
        <v>4</v>
      </c>
      <c r="B4" s="947" t="s">
        <v>489</v>
      </c>
      <c r="C4" s="948"/>
      <c r="D4" s="948"/>
      <c r="E4" s="948"/>
      <c r="F4" s="948"/>
      <c r="G4" s="948"/>
      <c r="H4" s="948"/>
      <c r="I4" s="948"/>
      <c r="J4" s="948"/>
      <c r="K4" s="948"/>
      <c r="L4" s="949"/>
      <c r="M4" s="336"/>
      <c r="N4" s="31" t="s">
        <v>65</v>
      </c>
    </row>
    <row r="5" spans="1:66" s="7" customFormat="1" ht="12" customHeight="1" hidden="1">
      <c r="A5" s="36"/>
      <c r="B5" s="337" t="s">
        <v>82</v>
      </c>
      <c r="C5" s="338" t="b">
        <f>IF(AND(ISTEXT(F6),$H$10&gt;=-10,$H$9=N13),VLOOKUP($H$8,'D1'!A21:'D1'!EV34,L5,FALSE),IF(AND(ISTEXT(F6),$H$10&gt;=-10,$H$9=N14),VLOOKUP($H$8,'D1'!A36:'D1'!EV49,L5,FALSE),IF(AND(ISTEXT(F6),$H$10&gt;=-10,$H$9=N15),VLOOKUP($H$8,'D1'!A51:'D1'!EV64,L5,FALSE),IF(AND(ISTEXT(F6),$H$10&gt;=-10,$H$9=N16),VLOOKUP($H$8,'D1'!A66:'D1'!EV79,L5,0)))))</f>
        <v>0</v>
      </c>
      <c r="D5" s="102" t="s">
        <v>85</v>
      </c>
      <c r="E5" s="101">
        <v>1.2</v>
      </c>
      <c r="F5" s="339" t="s">
        <v>49</v>
      </c>
      <c r="G5" s="340">
        <v>2</v>
      </c>
      <c r="H5" s="340"/>
      <c r="I5" s="122" t="s">
        <v>83</v>
      </c>
      <c r="J5" s="116">
        <f>C5*0.9/(E5*G5)</f>
        <v>0</v>
      </c>
      <c r="K5" s="128" t="s">
        <v>109</v>
      </c>
      <c r="L5" s="341" t="b">
        <f>IF(ISNUMBER(H10),HLOOKUP(H10,'D1'!B3:'D1'!EV4,2,0))</f>
        <v>0</v>
      </c>
      <c r="M5" s="331"/>
      <c r="N5" s="45"/>
      <c r="O5" s="342"/>
      <c r="P5" s="342"/>
      <c r="Q5" s="342"/>
      <c r="R5" s="342"/>
      <c r="S5" s="342"/>
      <c r="T5" s="8"/>
      <c r="U5" s="8"/>
      <c r="V5" s="8"/>
      <c r="W5" s="8"/>
      <c r="X5" s="8"/>
      <c r="Y5" s="8"/>
      <c r="Z5" s="8"/>
      <c r="AA5" s="9"/>
      <c r="AB5" s="9"/>
      <c r="AC5" s="9"/>
      <c r="AD5" s="9"/>
      <c r="AE5" s="9"/>
      <c r="AF5" s="9"/>
      <c r="AG5" s="9"/>
      <c r="AH5" s="9"/>
      <c r="AI5" s="9"/>
      <c r="AJ5" s="9"/>
      <c r="AK5" s="9"/>
      <c r="AL5" s="9"/>
      <c r="AM5" s="9"/>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row>
    <row r="6" spans="1:66" s="7" customFormat="1" ht="21.75" customHeight="1">
      <c r="A6" s="36">
        <v>5</v>
      </c>
      <c r="B6" s="343"/>
      <c r="C6" s="908" t="s">
        <v>104</v>
      </c>
      <c r="D6" s="909"/>
      <c r="E6" s="909"/>
      <c r="F6" s="700" t="s">
        <v>490</v>
      </c>
      <c r="G6" s="701"/>
      <c r="H6" s="701"/>
      <c r="I6" s="701"/>
      <c r="J6" s="701"/>
      <c r="K6" s="701"/>
      <c r="L6" s="677"/>
      <c r="M6" s="130"/>
      <c r="N6" s="41" t="s">
        <v>111</v>
      </c>
      <c r="Q6" s="8"/>
      <c r="R6" s="9"/>
      <c r="S6" s="8"/>
      <c r="T6" s="8"/>
      <c r="U6" s="8"/>
      <c r="V6" s="8"/>
      <c r="W6" s="8"/>
      <c r="X6" s="8"/>
      <c r="Y6" s="8"/>
      <c r="Z6" s="8"/>
      <c r="AA6" s="9"/>
      <c r="AB6" s="9"/>
      <c r="AC6" s="9"/>
      <c r="AD6" s="9"/>
      <c r="AE6" s="9"/>
      <c r="AF6" s="9"/>
      <c r="AG6" s="9"/>
      <c r="AH6" s="9"/>
      <c r="AI6" s="9"/>
      <c r="AJ6" s="9"/>
      <c r="AK6" s="9"/>
      <c r="AL6" s="9"/>
      <c r="AM6" s="9"/>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row>
    <row r="7" spans="1:66" s="7" customFormat="1" ht="15" customHeight="1">
      <c r="A7" s="36">
        <v>6</v>
      </c>
      <c r="B7" s="912" t="s">
        <v>246</v>
      </c>
      <c r="C7" s="913"/>
      <c r="D7" s="913"/>
      <c r="E7" s="913"/>
      <c r="F7" s="913"/>
      <c r="G7" s="913"/>
      <c r="H7" s="913"/>
      <c r="I7" s="913"/>
      <c r="J7" s="913"/>
      <c r="K7" s="913"/>
      <c r="L7" s="914"/>
      <c r="M7" s="130"/>
      <c r="N7" s="41"/>
      <c r="Q7" s="8"/>
      <c r="R7" s="9"/>
      <c r="S7" s="8"/>
      <c r="T7" s="8"/>
      <c r="U7" s="8"/>
      <c r="V7" s="8"/>
      <c r="W7" s="8"/>
      <c r="X7" s="8"/>
      <c r="Y7" s="8"/>
      <c r="Z7" s="8"/>
      <c r="AA7" s="9"/>
      <c r="AB7" s="9"/>
      <c r="AC7" s="9"/>
      <c r="AD7" s="9"/>
      <c r="AE7" s="9"/>
      <c r="AF7" s="9"/>
      <c r="AG7" s="9"/>
      <c r="AH7" s="9"/>
      <c r="AI7" s="9"/>
      <c r="AJ7" s="9"/>
      <c r="AK7" s="9"/>
      <c r="AL7" s="9"/>
      <c r="AM7" s="9"/>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row>
    <row r="8" spans="1:66" s="7" customFormat="1" ht="13.5" customHeight="1">
      <c r="A8" s="36">
        <v>7</v>
      </c>
      <c r="B8" s="344"/>
      <c r="C8" s="21"/>
      <c r="D8" s="656" t="s">
        <v>273</v>
      </c>
      <c r="E8" s="656"/>
      <c r="F8" s="656"/>
      <c r="G8" s="325" t="s">
        <v>35</v>
      </c>
      <c r="H8" s="890"/>
      <c r="I8" s="891"/>
      <c r="J8" s="891"/>
      <c r="K8" s="892"/>
      <c r="L8" s="132"/>
      <c r="M8" s="345"/>
      <c r="N8" s="41" t="s">
        <v>117</v>
      </c>
      <c r="Q8" s="8"/>
      <c r="R8" s="9"/>
      <c r="S8" s="8"/>
      <c r="T8" s="8"/>
      <c r="U8" s="8"/>
      <c r="V8" s="8"/>
      <c r="W8" s="8"/>
      <c r="X8" s="8"/>
      <c r="Y8" s="8"/>
      <c r="Z8" s="8"/>
      <c r="AA8" s="9"/>
      <c r="AB8" s="9"/>
      <c r="AC8" s="9"/>
      <c r="AD8" s="9"/>
      <c r="AE8" s="9"/>
      <c r="AF8" s="9"/>
      <c r="AG8" s="9"/>
      <c r="AH8" s="9"/>
      <c r="AI8" s="9"/>
      <c r="AJ8" s="9"/>
      <c r="AK8" s="9"/>
      <c r="AL8" s="9"/>
      <c r="AM8" s="9"/>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row>
    <row r="9" spans="1:66" s="7" customFormat="1" ht="13.5" customHeight="1">
      <c r="A9" s="36">
        <v>8</v>
      </c>
      <c r="B9" s="21"/>
      <c r="C9" s="21"/>
      <c r="D9" s="656" t="s">
        <v>110</v>
      </c>
      <c r="E9" s="656"/>
      <c r="F9" s="656"/>
      <c r="G9" s="346" t="s">
        <v>106</v>
      </c>
      <c r="H9" s="883"/>
      <c r="I9" s="884"/>
      <c r="J9" s="884"/>
      <c r="K9" s="885"/>
      <c r="L9" s="131"/>
      <c r="M9" s="345"/>
      <c r="N9" s="123" t="s">
        <v>98</v>
      </c>
      <c r="Q9" s="8"/>
      <c r="R9" s="9"/>
      <c r="S9" s="8"/>
      <c r="T9" s="8"/>
      <c r="U9" s="8"/>
      <c r="V9" s="8"/>
      <c r="W9" s="8"/>
      <c r="X9" s="8"/>
      <c r="Y9" s="8"/>
      <c r="Z9" s="8"/>
      <c r="AA9" s="9"/>
      <c r="AB9" s="9"/>
      <c r="AC9" s="9"/>
      <c r="AD9" s="9"/>
      <c r="AE9" s="9"/>
      <c r="AF9" s="9"/>
      <c r="AG9" s="9"/>
      <c r="AH9" s="9"/>
      <c r="AI9" s="9"/>
      <c r="AJ9" s="9"/>
      <c r="AK9" s="9"/>
      <c r="AL9" s="9"/>
      <c r="AM9" s="9"/>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row>
    <row r="10" spans="1:66" s="7" customFormat="1" ht="13.5" customHeight="1">
      <c r="A10" s="36">
        <v>9</v>
      </c>
      <c r="B10" s="321"/>
      <c r="C10" s="21"/>
      <c r="D10" s="656" t="s">
        <v>105</v>
      </c>
      <c r="E10" s="656"/>
      <c r="F10" s="656"/>
      <c r="G10" s="323" t="s">
        <v>241</v>
      </c>
      <c r="H10" s="1013"/>
      <c r="I10" s="1014"/>
      <c r="J10" s="1014"/>
      <c r="K10" s="1015"/>
      <c r="L10" s="322" t="str">
        <f>IF(H8='D1'!A5,N4,IF(OR(ISBLANK(H8),ISBLANK(H9),ISBLANK(H10)),"   ",IF(AND(ISTEXT(H8),ISTEXT(H9),ISNUMBER(H10),H10&gt;=-10,C5&gt;0),N3,N6)))</f>
        <v>   </v>
      </c>
      <c r="M10" s="345"/>
      <c r="N10" s="41" t="s">
        <v>99</v>
      </c>
      <c r="Q10" s="8"/>
      <c r="R10" s="9"/>
      <c r="S10" s="8"/>
      <c r="T10" s="8"/>
      <c r="U10" s="8"/>
      <c r="V10" s="8"/>
      <c r="W10" s="8"/>
      <c r="X10" s="8"/>
      <c r="Y10" s="8"/>
      <c r="Z10" s="8"/>
      <c r="AA10" s="9"/>
      <c r="AB10" s="9"/>
      <c r="AC10" s="9"/>
      <c r="AD10" s="9"/>
      <c r="AE10" s="9"/>
      <c r="AF10" s="9"/>
      <c r="AG10" s="9"/>
      <c r="AH10" s="9"/>
      <c r="AI10" s="9"/>
      <c r="AJ10" s="9"/>
      <c r="AK10" s="9"/>
      <c r="AL10" s="9"/>
      <c r="AM10" s="9"/>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row>
    <row r="11" spans="1:66" s="7" customFormat="1" ht="19.5" customHeight="1">
      <c r="A11" s="36">
        <v>10</v>
      </c>
      <c r="B11" s="697" t="s">
        <v>274</v>
      </c>
      <c r="C11" s="698"/>
      <c r="D11" s="698"/>
      <c r="E11" s="698"/>
      <c r="F11" s="699"/>
      <c r="G11" s="61"/>
      <c r="H11" s="855" t="str">
        <f>IF(OR(ISBLANK(H8),ISBLANK(H9),ISBLANK(H10)),N4,IF(AND(ISTEXT(H8),ISTEXT(H9),ISNUMBER(H10),L10=N3,ISNUMBER(C5)),N3,N4))</f>
        <v>nicht erfüllt</v>
      </c>
      <c r="I11" s="921"/>
      <c r="J11" s="921"/>
      <c r="K11" s="921"/>
      <c r="L11" s="147"/>
      <c r="M11" s="345"/>
      <c r="N11" s="41" t="s">
        <v>107</v>
      </c>
      <c r="Q11" s="8"/>
      <c r="R11" s="9"/>
      <c r="S11" s="8"/>
      <c r="T11" s="8"/>
      <c r="U11" s="8"/>
      <c r="V11" s="8"/>
      <c r="W11" s="8"/>
      <c r="X11" s="8"/>
      <c r="Y11" s="8"/>
      <c r="Z11" s="8"/>
      <c r="AA11" s="9"/>
      <c r="AB11" s="9"/>
      <c r="AC11" s="9"/>
      <c r="AD11" s="9"/>
      <c r="AE11" s="9"/>
      <c r="AF11" s="9"/>
      <c r="AG11" s="9"/>
      <c r="AH11" s="9"/>
      <c r="AI11" s="9"/>
      <c r="AJ11" s="9"/>
      <c r="AK11" s="9"/>
      <c r="AL11" s="9"/>
      <c r="AM11" s="9"/>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row>
    <row r="12" spans="1:66" s="7" customFormat="1" ht="15" customHeight="1">
      <c r="A12" s="36">
        <v>11</v>
      </c>
      <c r="B12" s="21"/>
      <c r="C12" s="21"/>
      <c r="D12" s="21"/>
      <c r="E12" s="21"/>
      <c r="F12" s="21"/>
      <c r="G12" s="252"/>
      <c r="H12" s="253"/>
      <c r="I12" s="347"/>
      <c r="J12" s="347"/>
      <c r="K12" s="347"/>
      <c r="L12" s="254"/>
      <c r="M12" s="345"/>
      <c r="N12" s="41"/>
      <c r="Q12" s="8"/>
      <c r="R12" s="9"/>
      <c r="S12" s="8"/>
      <c r="T12" s="8"/>
      <c r="U12" s="8"/>
      <c r="V12" s="8"/>
      <c r="W12" s="8"/>
      <c r="X12" s="8"/>
      <c r="Y12" s="8"/>
      <c r="Z12" s="8"/>
      <c r="AA12" s="9"/>
      <c r="AB12" s="9"/>
      <c r="AC12" s="9"/>
      <c r="AD12" s="9"/>
      <c r="AE12" s="9"/>
      <c r="AF12" s="9"/>
      <c r="AG12" s="9"/>
      <c r="AH12" s="9"/>
      <c r="AI12" s="9"/>
      <c r="AJ12" s="9"/>
      <c r="AK12" s="9"/>
      <c r="AL12" s="9"/>
      <c r="AM12" s="9"/>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row>
    <row r="13" spans="1:66" s="7" customFormat="1" ht="15.75" customHeight="1">
      <c r="A13" s="36">
        <v>12</v>
      </c>
      <c r="B13" s="880"/>
      <c r="C13" s="881"/>
      <c r="D13" s="882"/>
      <c r="E13" s="334"/>
      <c r="F13" s="349"/>
      <c r="G13" s="917" t="s">
        <v>5</v>
      </c>
      <c r="H13" s="918"/>
      <c r="I13" s="528" t="s">
        <v>95</v>
      </c>
      <c r="J13" s="529" t="s">
        <v>0</v>
      </c>
      <c r="K13" s="915" t="s">
        <v>116</v>
      </c>
      <c r="L13" s="916"/>
      <c r="M13" s="345"/>
      <c r="N13" s="91" t="s">
        <v>12</v>
      </c>
      <c r="Q13" s="8"/>
      <c r="R13" s="9"/>
      <c r="S13" s="8"/>
      <c r="T13" s="8"/>
      <c r="U13" s="8"/>
      <c r="V13" s="8"/>
      <c r="W13" s="8"/>
      <c r="X13" s="8"/>
      <c r="Y13" s="8"/>
      <c r="Z13" s="8"/>
      <c r="AA13" s="9"/>
      <c r="AB13" s="9"/>
      <c r="AC13" s="9"/>
      <c r="AD13" s="9"/>
      <c r="AE13" s="9"/>
      <c r="AF13" s="9"/>
      <c r="AG13" s="9"/>
      <c r="AH13" s="9"/>
      <c r="AI13" s="9"/>
      <c r="AJ13" s="9"/>
      <c r="AK13" s="9"/>
      <c r="AL13" s="9"/>
      <c r="AM13" s="9"/>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row>
    <row r="14" spans="1:66" s="7" customFormat="1" ht="15" customHeight="1">
      <c r="A14" s="36">
        <v>13</v>
      </c>
      <c r="B14" s="344"/>
      <c r="C14" s="350"/>
      <c r="D14" s="344"/>
      <c r="E14" s="351"/>
      <c r="F14" s="21"/>
      <c r="G14" s="841" t="s">
        <v>96</v>
      </c>
      <c r="H14" s="842"/>
      <c r="I14" s="151" t="s">
        <v>275</v>
      </c>
      <c r="J14" s="680">
        <v>6000</v>
      </c>
      <c r="K14" s="352"/>
      <c r="L14" s="124"/>
      <c r="M14" s="345"/>
      <c r="N14" s="44" t="s">
        <v>13</v>
      </c>
      <c r="Q14" s="8"/>
      <c r="R14" s="9"/>
      <c r="S14" s="8"/>
      <c r="T14" s="8"/>
      <c r="U14" s="8"/>
      <c r="V14" s="8"/>
      <c r="W14" s="8"/>
      <c r="X14" s="8"/>
      <c r="Y14" s="8"/>
      <c r="Z14" s="8"/>
      <c r="AA14" s="9"/>
      <c r="AB14" s="9"/>
      <c r="AC14" s="9"/>
      <c r="AD14" s="9"/>
      <c r="AE14" s="9"/>
      <c r="AF14" s="9"/>
      <c r="AG14" s="9"/>
      <c r="AH14" s="9"/>
      <c r="AI14" s="9"/>
      <c r="AJ14" s="9"/>
      <c r="AK14" s="9"/>
      <c r="AL14" s="9"/>
      <c r="AM14" s="9"/>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row>
    <row r="15" spans="1:66" s="7" customFormat="1" ht="15" customHeight="1">
      <c r="A15" s="36">
        <v>14</v>
      </c>
      <c r="B15" s="344"/>
      <c r="C15" s="350"/>
      <c r="D15" s="344"/>
      <c r="E15" s="351"/>
      <c r="F15" s="21"/>
      <c r="G15" s="841" t="s">
        <v>113</v>
      </c>
      <c r="H15" s="842"/>
      <c r="I15" s="531" t="s">
        <v>276</v>
      </c>
      <c r="J15" s="681">
        <v>25</v>
      </c>
      <c r="K15" s="197" t="s">
        <v>159</v>
      </c>
      <c r="L15" s="173">
        <f>IF(AND(J15&gt;0,J17&gt;0),0.5*J17/TAN(PI()*(90-J15)/180),0)</f>
        <v>0</v>
      </c>
      <c r="M15" s="345"/>
      <c r="N15" s="44" t="s">
        <v>14</v>
      </c>
      <c r="Q15" s="8"/>
      <c r="R15" s="9"/>
      <c r="S15" s="8"/>
      <c r="T15" s="8"/>
      <c r="U15" s="8"/>
      <c r="V15" s="8"/>
      <c r="W15" s="8"/>
      <c r="X15" s="8"/>
      <c r="Y15" s="8"/>
      <c r="Z15" s="8"/>
      <c r="AA15" s="9"/>
      <c r="AB15" s="9"/>
      <c r="AC15" s="9"/>
      <c r="AD15" s="9"/>
      <c r="AE15" s="9"/>
      <c r="AF15" s="9"/>
      <c r="AG15" s="9"/>
      <c r="AH15" s="9"/>
      <c r="AI15" s="9"/>
      <c r="AJ15" s="9"/>
      <c r="AK15" s="9"/>
      <c r="AL15" s="9"/>
      <c r="AM15" s="9"/>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row>
    <row r="16" spans="1:66" s="7" customFormat="1" ht="15" customHeight="1">
      <c r="A16" s="36">
        <v>15</v>
      </c>
      <c r="B16" s="344"/>
      <c r="C16" s="350"/>
      <c r="D16" s="344"/>
      <c r="E16" s="351"/>
      <c r="F16" s="21"/>
      <c r="G16" s="841" t="s">
        <v>101</v>
      </c>
      <c r="H16" s="842"/>
      <c r="I16" s="531" t="s">
        <v>277</v>
      </c>
      <c r="J16" s="628"/>
      <c r="K16" s="1024" t="s">
        <v>200</v>
      </c>
      <c r="L16" s="1025"/>
      <c r="M16" s="345"/>
      <c r="N16" s="44" t="s">
        <v>15</v>
      </c>
      <c r="Q16" s="8"/>
      <c r="R16" s="9"/>
      <c r="S16" s="8"/>
      <c r="T16" s="8"/>
      <c r="U16" s="8"/>
      <c r="V16" s="8"/>
      <c r="W16" s="8"/>
      <c r="X16" s="8"/>
      <c r="Y16" s="8"/>
      <c r="Z16" s="8"/>
      <c r="AA16" s="9"/>
      <c r="AB16" s="9"/>
      <c r="AC16" s="9"/>
      <c r="AD16" s="9"/>
      <c r="AE16" s="9"/>
      <c r="AF16" s="9"/>
      <c r="AG16" s="9"/>
      <c r="AH16" s="9"/>
      <c r="AI16" s="9"/>
      <c r="AJ16" s="9"/>
      <c r="AK16" s="9"/>
      <c r="AL16" s="9"/>
      <c r="AM16" s="9"/>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row>
    <row r="17" spans="1:66" s="7" customFormat="1" ht="15" customHeight="1">
      <c r="A17" s="36">
        <v>16</v>
      </c>
      <c r="B17" s="344"/>
      <c r="C17" s="350"/>
      <c r="D17" s="344"/>
      <c r="E17" s="351"/>
      <c r="F17" s="21"/>
      <c r="G17" s="841" t="s">
        <v>100</v>
      </c>
      <c r="H17" s="842"/>
      <c r="I17" s="87" t="s">
        <v>97</v>
      </c>
      <c r="J17" s="628"/>
      <c r="K17" s="1026" t="s">
        <v>198</v>
      </c>
      <c r="L17" s="1027"/>
      <c r="M17" s="345"/>
      <c r="N17" s="45"/>
      <c r="Q17" s="8"/>
      <c r="R17" s="9"/>
      <c r="S17" s="8"/>
      <c r="T17" s="8"/>
      <c r="U17" s="8"/>
      <c r="V17" s="8"/>
      <c r="W17" s="8"/>
      <c r="X17" s="8"/>
      <c r="Y17" s="8"/>
      <c r="Z17" s="8"/>
      <c r="AA17" s="9"/>
      <c r="AB17" s="9"/>
      <c r="AC17" s="9"/>
      <c r="AD17" s="9"/>
      <c r="AE17" s="9"/>
      <c r="AF17" s="9"/>
      <c r="AG17" s="9"/>
      <c r="AH17" s="9"/>
      <c r="AI17" s="9"/>
      <c r="AJ17" s="9"/>
      <c r="AK17" s="9"/>
      <c r="AL17" s="9"/>
      <c r="AM17" s="9"/>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row>
    <row r="18" spans="1:66" s="7" customFormat="1" ht="15" customHeight="1">
      <c r="A18" s="36">
        <v>17</v>
      </c>
      <c r="B18" s="344"/>
      <c r="C18" s="350"/>
      <c r="D18" s="344"/>
      <c r="E18" s="351"/>
      <c r="F18" s="21"/>
      <c r="G18" s="841" t="s">
        <v>112</v>
      </c>
      <c r="H18" s="811"/>
      <c r="I18" s="87" t="s">
        <v>278</v>
      </c>
      <c r="J18" s="628"/>
      <c r="K18" s="858"/>
      <c r="L18" s="1023"/>
      <c r="M18" s="345"/>
      <c r="N18" s="45"/>
      <c r="Q18" s="8"/>
      <c r="R18" s="9"/>
      <c r="S18" s="8"/>
      <c r="T18" s="8"/>
      <c r="U18" s="8"/>
      <c r="V18" s="8"/>
      <c r="W18" s="8"/>
      <c r="X18" s="8"/>
      <c r="Y18" s="8"/>
      <c r="Z18" s="8"/>
      <c r="AA18" s="9"/>
      <c r="AB18" s="9"/>
      <c r="AC18" s="9"/>
      <c r="AD18" s="9"/>
      <c r="AE18" s="9"/>
      <c r="AF18" s="9"/>
      <c r="AG18" s="9"/>
      <c r="AH18" s="9"/>
      <c r="AI18" s="9"/>
      <c r="AJ18" s="9"/>
      <c r="AK18" s="9"/>
      <c r="AL18" s="9"/>
      <c r="AM18" s="9"/>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row>
    <row r="19" spans="1:66" s="7" customFormat="1" ht="15" customHeight="1">
      <c r="A19" s="36">
        <v>18</v>
      </c>
      <c r="B19" s="354"/>
      <c r="C19" s="350"/>
      <c r="D19" s="344"/>
      <c r="E19" s="351"/>
      <c r="F19" s="21"/>
      <c r="G19" s="841" t="s">
        <v>261</v>
      </c>
      <c r="H19" s="842"/>
      <c r="I19" s="87" t="s">
        <v>279</v>
      </c>
      <c r="J19" s="627"/>
      <c r="K19" s="833" t="s">
        <v>487</v>
      </c>
      <c r="L19" s="834"/>
      <c r="M19" s="345"/>
      <c r="N19" s="45"/>
      <c r="Q19" s="8"/>
      <c r="R19" s="9"/>
      <c r="S19" s="8"/>
      <c r="T19" s="8"/>
      <c r="U19" s="8"/>
      <c r="V19" s="8"/>
      <c r="W19" s="8"/>
      <c r="X19" s="8"/>
      <c r="Y19" s="8"/>
      <c r="Z19" s="8"/>
      <c r="AA19" s="9"/>
      <c r="AB19" s="9"/>
      <c r="AC19" s="9"/>
      <c r="AD19" s="9"/>
      <c r="AE19" s="9"/>
      <c r="AF19" s="9"/>
      <c r="AG19" s="9"/>
      <c r="AH19" s="9"/>
      <c r="AI19" s="9"/>
      <c r="AJ19" s="9"/>
      <c r="AK19" s="9"/>
      <c r="AL19" s="9"/>
      <c r="AM19" s="9"/>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row>
    <row r="20" spans="1:66" s="7" customFormat="1" ht="15" customHeight="1">
      <c r="A20" s="36">
        <v>19</v>
      </c>
      <c r="B20" s="354"/>
      <c r="C20" s="350"/>
      <c r="D20" s="344"/>
      <c r="E20" s="351"/>
      <c r="F20" s="351"/>
      <c r="G20" s="810" t="s">
        <v>102</v>
      </c>
      <c r="H20" s="842"/>
      <c r="I20" s="87" t="s">
        <v>280</v>
      </c>
      <c r="J20" s="627"/>
      <c r="K20" s="651" t="s">
        <v>199</v>
      </c>
      <c r="L20" s="830"/>
      <c r="M20" s="345"/>
      <c r="N20" s="45"/>
      <c r="Q20" s="8"/>
      <c r="R20" s="9"/>
      <c r="S20" s="8"/>
      <c r="T20" s="8"/>
      <c r="U20" s="8"/>
      <c r="V20" s="8"/>
      <c r="W20" s="8"/>
      <c r="X20" s="8"/>
      <c r="Y20" s="8"/>
      <c r="Z20" s="8"/>
      <c r="AA20" s="9"/>
      <c r="AB20" s="9"/>
      <c r="AC20" s="9"/>
      <c r="AD20" s="9"/>
      <c r="AE20" s="9"/>
      <c r="AF20" s="9"/>
      <c r="AG20" s="9"/>
      <c r="AH20" s="9"/>
      <c r="AI20" s="9"/>
      <c r="AJ20" s="9"/>
      <c r="AK20" s="9"/>
      <c r="AL20" s="9"/>
      <c r="AM20" s="9"/>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row>
    <row r="21" spans="1:66" s="7" customFormat="1" ht="15" customHeight="1">
      <c r="A21" s="36">
        <v>20</v>
      </c>
      <c r="B21" s="354"/>
      <c r="C21" s="350"/>
      <c r="D21" s="344"/>
      <c r="E21" s="351"/>
      <c r="F21" s="351"/>
      <c r="G21" s="810" t="s">
        <v>103</v>
      </c>
      <c r="H21" s="811"/>
      <c r="I21" s="87" t="s">
        <v>281</v>
      </c>
      <c r="J21" s="627"/>
      <c r="K21" s="21"/>
      <c r="L21" s="26"/>
      <c r="M21" s="345"/>
      <c r="N21" s="45"/>
      <c r="Q21" s="8"/>
      <c r="R21" s="9"/>
      <c r="S21" s="8"/>
      <c r="T21" s="8"/>
      <c r="U21" s="8"/>
      <c r="V21" s="8"/>
      <c r="W21" s="8"/>
      <c r="X21" s="8"/>
      <c r="Y21" s="8"/>
      <c r="Z21" s="8"/>
      <c r="AA21" s="9"/>
      <c r="AB21" s="9"/>
      <c r="AC21" s="9"/>
      <c r="AD21" s="9"/>
      <c r="AE21" s="9"/>
      <c r="AF21" s="9"/>
      <c r="AG21" s="9"/>
      <c r="AH21" s="9"/>
      <c r="AI21" s="9"/>
      <c r="AJ21" s="9"/>
      <c r="AK21" s="9"/>
      <c r="AL21" s="9"/>
      <c r="AM21" s="9"/>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row>
    <row r="22" spans="1:66" s="7" customFormat="1" ht="12.75" customHeight="1">
      <c r="A22" s="36">
        <v>21</v>
      </c>
      <c r="B22" s="354"/>
      <c r="C22" s="350"/>
      <c r="D22" s="344"/>
      <c r="E22" s="351"/>
      <c r="F22" s="351"/>
      <c r="G22" s="919" t="s">
        <v>157</v>
      </c>
      <c r="H22" s="920"/>
      <c r="I22" s="532" t="s">
        <v>158</v>
      </c>
      <c r="J22" s="581" t="str">
        <f>IF(OR(H11=N4,H11="   "),"   ",IF(AND(H11=N3,J14&gt;0,J15&gt;=15,J15&lt;=75,J16&gt;0,J16&lt;=J14,J17&gt;10,J18&gt;J17,J19&gt;=4,J20&gt;=4,J21&gt;=4),J14+L15+J21,"   "))</f>
        <v>   </v>
      </c>
      <c r="K22" s="831"/>
      <c r="L22" s="832"/>
      <c r="M22" s="345"/>
      <c r="N22" s="45"/>
      <c r="Q22" s="8"/>
      <c r="R22" s="9"/>
      <c r="S22" s="8"/>
      <c r="T22" s="8"/>
      <c r="U22" s="8"/>
      <c r="V22" s="8"/>
      <c r="W22" s="8"/>
      <c r="X22" s="8"/>
      <c r="Y22" s="8"/>
      <c r="Z22" s="8"/>
      <c r="AA22" s="9"/>
      <c r="AB22" s="9"/>
      <c r="AC22" s="9"/>
      <c r="AD22" s="9"/>
      <c r="AE22" s="9"/>
      <c r="AF22" s="9"/>
      <c r="AG22" s="9"/>
      <c r="AH22" s="9"/>
      <c r="AI22" s="9"/>
      <c r="AJ22" s="9"/>
      <c r="AK22" s="9"/>
      <c r="AL22" s="9"/>
      <c r="AM22" s="9"/>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row>
    <row r="23" spans="1:66" s="7" customFormat="1" ht="15" customHeight="1">
      <c r="A23" s="36">
        <v>22</v>
      </c>
      <c r="B23" s="354"/>
      <c r="C23" s="350"/>
      <c r="D23" s="344"/>
      <c r="E23" s="351"/>
      <c r="F23" s="351"/>
      <c r="G23" s="192"/>
      <c r="H23" s="334"/>
      <c r="I23" s="1016" t="str">
        <f>IF(OR(H11=N4,H11="   "),"   ",IF(AND(H11=N3,J14&gt;0,J15&gt;=15,J15&lt;=75,J16&gt;0,J16&lt;=J14,J17&gt;10,J18&gt;J17,J19&gt;=4,J20&gt;=4,J21&gt;=4,ISNUMBER(J22)),N3,N4))</f>
        <v>   </v>
      </c>
      <c r="J23" s="1017"/>
      <c r="K23" s="323"/>
      <c r="L23" s="355"/>
      <c r="M23" s="345"/>
      <c r="N23" s="45"/>
      <c r="Q23" s="8"/>
      <c r="R23" s="9"/>
      <c r="S23" s="8"/>
      <c r="T23" s="8"/>
      <c r="U23" s="8"/>
      <c r="V23" s="8"/>
      <c r="W23" s="8"/>
      <c r="X23" s="8"/>
      <c r="Y23" s="8"/>
      <c r="Z23" s="8"/>
      <c r="AA23" s="9"/>
      <c r="AB23" s="9"/>
      <c r="AC23" s="9"/>
      <c r="AD23" s="9"/>
      <c r="AE23" s="9"/>
      <c r="AF23" s="9"/>
      <c r="AG23" s="9"/>
      <c r="AH23" s="9"/>
      <c r="AI23" s="9"/>
      <c r="AJ23" s="9"/>
      <c r="AK23" s="9"/>
      <c r="AL23" s="9"/>
      <c r="AM23" s="9"/>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row>
    <row r="24" spans="1:66" s="7" customFormat="1" ht="18" customHeight="1">
      <c r="A24" s="36">
        <v>23</v>
      </c>
      <c r="B24" s="910" t="s">
        <v>282</v>
      </c>
      <c r="C24" s="852"/>
      <c r="D24" s="852"/>
      <c r="E24" s="852"/>
      <c r="F24" s="852"/>
      <c r="G24" s="852"/>
      <c r="H24" s="852"/>
      <c r="I24" s="852"/>
      <c r="J24" s="852"/>
      <c r="K24" s="852"/>
      <c r="L24" s="911"/>
      <c r="M24" s="356"/>
      <c r="N24" s="33"/>
      <c r="Q24" s="8"/>
      <c r="R24" s="9"/>
      <c r="S24" s="8"/>
      <c r="T24" s="8"/>
      <c r="U24" s="8"/>
      <c r="V24" s="8"/>
      <c r="W24" s="8"/>
      <c r="X24" s="8"/>
      <c r="Y24" s="8"/>
      <c r="Z24" s="8"/>
      <c r="AA24" s="9"/>
      <c r="AB24" s="9"/>
      <c r="AC24" s="9"/>
      <c r="AD24" s="9"/>
      <c r="AE24" s="9"/>
      <c r="AF24" s="9"/>
      <c r="AG24" s="9"/>
      <c r="AH24" s="9"/>
      <c r="AI24" s="9"/>
      <c r="AJ24" s="9"/>
      <c r="AK24" s="9"/>
      <c r="AL24" s="9"/>
      <c r="AM24" s="9"/>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row>
    <row r="25" spans="1:14" ht="12.75" customHeight="1">
      <c r="A25" s="36">
        <v>24</v>
      </c>
      <c r="B25" s="888" t="s">
        <v>132</v>
      </c>
      <c r="C25" s="889"/>
      <c r="D25" s="889"/>
      <c r="E25" s="889"/>
      <c r="F25" s="1021" t="s">
        <v>283</v>
      </c>
      <c r="G25" s="852"/>
      <c r="H25" s="852"/>
      <c r="I25" s="852"/>
      <c r="J25" s="852"/>
      <c r="K25" s="348"/>
      <c r="L25" s="357"/>
      <c r="M25" s="356"/>
      <c r="N25" s="291"/>
    </row>
    <row r="26" spans="1:66" s="92" customFormat="1" ht="12.75" customHeight="1">
      <c r="A26" s="36">
        <v>25</v>
      </c>
      <c r="B26" s="160"/>
      <c r="C26" s="358"/>
      <c r="D26" s="359"/>
      <c r="E26" s="360"/>
      <c r="F26" s="839" t="s">
        <v>284</v>
      </c>
      <c r="G26" s="840"/>
      <c r="H26" s="840"/>
      <c r="I26" s="840"/>
      <c r="J26" s="840"/>
      <c r="K26" s="361"/>
      <c r="L26" s="362"/>
      <c r="M26" s="363"/>
      <c r="N26" s="292"/>
      <c r="Q26" s="93"/>
      <c r="R26" s="94"/>
      <c r="S26" s="93"/>
      <c r="T26" s="93"/>
      <c r="U26" s="93"/>
      <c r="V26" s="93"/>
      <c r="W26" s="93"/>
      <c r="X26" s="93"/>
      <c r="Y26" s="93"/>
      <c r="Z26" s="93"/>
      <c r="AA26" s="94"/>
      <c r="AB26" s="94"/>
      <c r="AC26" s="94"/>
      <c r="AD26" s="94"/>
      <c r="AE26" s="94"/>
      <c r="AF26" s="94"/>
      <c r="AG26" s="94"/>
      <c r="AH26" s="94"/>
      <c r="AI26" s="94"/>
      <c r="AJ26" s="94"/>
      <c r="AK26" s="94"/>
      <c r="AL26" s="94"/>
      <c r="AM26" s="94"/>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row>
    <row r="27" spans="1:66" s="92" customFormat="1" ht="15" customHeight="1">
      <c r="A27" s="36">
        <v>26</v>
      </c>
      <c r="B27" s="1071" t="s">
        <v>248</v>
      </c>
      <c r="C27" s="1072"/>
      <c r="D27" s="1072"/>
      <c r="E27" s="1072"/>
      <c r="F27" s="1072"/>
      <c r="G27" s="1072"/>
      <c r="H27" s="1072"/>
      <c r="I27" s="1072"/>
      <c r="J27" s="1072"/>
      <c r="K27" s="1072"/>
      <c r="L27" s="1073"/>
      <c r="M27" s="363"/>
      <c r="N27" s="292"/>
      <c r="Q27" s="93"/>
      <c r="R27" s="94"/>
      <c r="S27" s="93"/>
      <c r="T27" s="93"/>
      <c r="U27" s="93"/>
      <c r="V27" s="93"/>
      <c r="W27" s="93"/>
      <c r="X27" s="93"/>
      <c r="Y27" s="93"/>
      <c r="Z27" s="93"/>
      <c r="AA27" s="94"/>
      <c r="AB27" s="94"/>
      <c r="AC27" s="94"/>
      <c r="AD27" s="94"/>
      <c r="AE27" s="94"/>
      <c r="AF27" s="94"/>
      <c r="AG27" s="94"/>
      <c r="AH27" s="94"/>
      <c r="AI27" s="94"/>
      <c r="AJ27" s="94"/>
      <c r="AK27" s="94"/>
      <c r="AL27" s="94"/>
      <c r="AM27" s="94"/>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row>
    <row r="28" spans="1:66" s="7" customFormat="1" ht="15.75" customHeight="1">
      <c r="A28" s="36">
        <v>27</v>
      </c>
      <c r="B28" s="137" t="s">
        <v>5</v>
      </c>
      <c r="C28" s="137"/>
      <c r="D28" s="138"/>
      <c r="E28" s="139" t="s">
        <v>2</v>
      </c>
      <c r="F28" s="843" t="s">
        <v>41</v>
      </c>
      <c r="G28" s="806"/>
      <c r="H28" s="804" t="s">
        <v>40</v>
      </c>
      <c r="I28" s="805"/>
      <c r="J28" s="805"/>
      <c r="K28" s="806"/>
      <c r="L28" s="140" t="s">
        <v>3</v>
      </c>
      <c r="M28" s="148"/>
      <c r="N28" s="45"/>
      <c r="Q28" s="8"/>
      <c r="R28" s="9"/>
      <c r="S28" s="8"/>
      <c r="T28" s="8"/>
      <c r="U28" s="8"/>
      <c r="V28" s="8"/>
      <c r="W28" s="8"/>
      <c r="X28" s="8"/>
      <c r="Y28" s="8"/>
      <c r="Z28" s="8"/>
      <c r="AA28" s="9"/>
      <c r="AB28" s="9"/>
      <c r="AC28" s="9"/>
      <c r="AD28" s="9"/>
      <c r="AE28" s="9"/>
      <c r="AF28" s="9"/>
      <c r="AG28" s="9"/>
      <c r="AH28" s="9"/>
      <c r="AI28" s="9"/>
      <c r="AJ28" s="9"/>
      <c r="AK28" s="9"/>
      <c r="AL28" s="9"/>
      <c r="AM28" s="9"/>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row>
    <row r="29" spans="1:66" s="7" customFormat="1" ht="13.5" customHeight="1">
      <c r="A29" s="36">
        <v>28</v>
      </c>
      <c r="B29" s="656" t="s">
        <v>53</v>
      </c>
      <c r="C29" s="656"/>
      <c r="D29" s="874"/>
      <c r="E29" s="525" t="s">
        <v>10</v>
      </c>
      <c r="F29" s="899" t="s">
        <v>285</v>
      </c>
      <c r="G29" s="660"/>
      <c r="H29" s="819"/>
      <c r="I29" s="820"/>
      <c r="J29" s="821"/>
      <c r="K29" s="822"/>
      <c r="L29" s="520" t="str">
        <f>IF(OR(I23=N4,I23="   "),"   ",IF(AND(I23=N3,H29&gt;=0),10*H29,N4))</f>
        <v>   </v>
      </c>
      <c r="M29" s="148"/>
      <c r="N29" s="42" t="s">
        <v>19</v>
      </c>
      <c r="Q29" s="8"/>
      <c r="R29" s="9"/>
      <c r="S29" s="8"/>
      <c r="T29" s="8"/>
      <c r="U29" s="8"/>
      <c r="V29" s="8"/>
      <c r="W29" s="8"/>
      <c r="X29" s="8"/>
      <c r="Y29" s="8"/>
      <c r="Z29" s="8"/>
      <c r="AA29" s="9"/>
      <c r="AB29" s="9"/>
      <c r="AC29" s="9"/>
      <c r="AD29" s="9"/>
      <c r="AE29" s="9"/>
      <c r="AF29" s="9"/>
      <c r="AG29" s="9"/>
      <c r="AH29" s="9"/>
      <c r="AI29" s="9"/>
      <c r="AJ29" s="9"/>
      <c r="AK29" s="9"/>
      <c r="AL29" s="9"/>
      <c r="AM29" s="9"/>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row>
    <row r="30" spans="1:66" s="92" customFormat="1" ht="15" customHeight="1">
      <c r="A30" s="36">
        <v>29</v>
      </c>
      <c r="B30" s="886" t="s">
        <v>54</v>
      </c>
      <c r="C30" s="886"/>
      <c r="D30" s="887"/>
      <c r="E30" s="365" t="s">
        <v>166</v>
      </c>
      <c r="F30" s="895" t="s">
        <v>286</v>
      </c>
      <c r="G30" s="896"/>
      <c r="H30" s="835"/>
      <c r="I30" s="836"/>
      <c r="J30" s="837"/>
      <c r="K30" s="838"/>
      <c r="L30" s="520" t="str">
        <f>IF(OR(I23=N4,I23="   "),"   ",IF(AND(I23=N3,H30&gt;=0),10*H30,N4))</f>
        <v>   </v>
      </c>
      <c r="M30" s="366"/>
      <c r="N30" s="129" t="s">
        <v>20</v>
      </c>
      <c r="Q30" s="93"/>
      <c r="R30" s="94"/>
      <c r="S30" s="93"/>
      <c r="T30" s="93"/>
      <c r="U30" s="93"/>
      <c r="V30" s="93"/>
      <c r="W30" s="93"/>
      <c r="X30" s="93"/>
      <c r="Y30" s="93"/>
      <c r="Z30" s="93"/>
      <c r="AA30" s="94"/>
      <c r="AB30" s="94"/>
      <c r="AC30" s="94"/>
      <c r="AD30" s="94"/>
      <c r="AE30" s="94"/>
      <c r="AF30" s="94"/>
      <c r="AG30" s="94"/>
      <c r="AH30" s="94"/>
      <c r="AI30" s="94"/>
      <c r="AJ30" s="94"/>
      <c r="AK30" s="94"/>
      <c r="AL30" s="94"/>
      <c r="AM30" s="94"/>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row>
    <row r="31" spans="1:14" ht="15" customHeight="1">
      <c r="A31" s="36">
        <v>30</v>
      </c>
      <c r="B31" s="852" t="s">
        <v>108</v>
      </c>
      <c r="C31" s="852"/>
      <c r="D31" s="865"/>
      <c r="E31" s="367" t="s">
        <v>166</v>
      </c>
      <c r="F31" s="1034" t="s">
        <v>287</v>
      </c>
      <c r="G31" s="1035"/>
      <c r="H31" s="812"/>
      <c r="I31" s="813"/>
      <c r="J31" s="814"/>
      <c r="K31" s="815"/>
      <c r="L31" s="521" t="str">
        <f>IF(OR(I23=N4,I23="   "),"   ",IF(ISBLANK(H31),"   ",IF(AND(I23=N3,H31&gt;=(H29+0.0005)),10*H31,N4)))</f>
        <v>   </v>
      </c>
      <c r="M31" s="368"/>
      <c r="N31" s="41" t="s">
        <v>28</v>
      </c>
    </row>
    <row r="32" spans="1:66" s="7" customFormat="1" ht="13.5" customHeight="1">
      <c r="A32" s="36">
        <v>31</v>
      </c>
      <c r="B32" s="656" t="s">
        <v>247</v>
      </c>
      <c r="C32" s="656"/>
      <c r="D32" s="874"/>
      <c r="E32" s="369" t="s">
        <v>166</v>
      </c>
      <c r="F32" s="1022" t="s">
        <v>288</v>
      </c>
      <c r="G32" s="649"/>
      <c r="H32" s="819"/>
      <c r="I32" s="820"/>
      <c r="J32" s="821"/>
      <c r="K32" s="822"/>
      <c r="L32" s="521" t="str">
        <f>IF(OR(I23=N4,I23="   "),"   ",IF(ISBLANK(H32),"   ",IF(AND(I23=N3,H32&gt;=(H30+0.0003)),10*H32,N4)))</f>
        <v>   </v>
      </c>
      <c r="M32" s="148"/>
      <c r="N32" s="41" t="s">
        <v>29</v>
      </c>
      <c r="Q32" s="8"/>
      <c r="R32" s="9"/>
      <c r="S32" s="8"/>
      <c r="T32" s="8"/>
      <c r="U32" s="8"/>
      <c r="V32" s="8"/>
      <c r="W32" s="8"/>
      <c r="X32" s="8"/>
      <c r="Y32" s="8"/>
      <c r="Z32" s="8"/>
      <c r="AA32" s="9"/>
      <c r="AB32" s="9"/>
      <c r="AC32" s="9"/>
      <c r="AD32" s="9"/>
      <c r="AE32" s="9"/>
      <c r="AF32" s="9"/>
      <c r="AG32" s="9"/>
      <c r="AH32" s="9"/>
      <c r="AI32" s="9"/>
      <c r="AJ32" s="9"/>
      <c r="AK32" s="9"/>
      <c r="AL32" s="9"/>
      <c r="AM32" s="9"/>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row>
    <row r="33" spans="1:66" s="7" customFormat="1" ht="13.5" customHeight="1">
      <c r="A33" s="36">
        <v>32</v>
      </c>
      <c r="B33" s="722" t="s">
        <v>491</v>
      </c>
      <c r="C33" s="722"/>
      <c r="D33" s="722"/>
      <c r="E33" s="370" t="s">
        <v>8</v>
      </c>
      <c r="F33" s="818" t="s">
        <v>289</v>
      </c>
      <c r="G33" s="783"/>
      <c r="H33" s="1018"/>
      <c r="I33" s="1019"/>
      <c r="J33" s="1019"/>
      <c r="K33" s="1020"/>
      <c r="L33" s="584"/>
      <c r="M33" s="148"/>
      <c r="N33" s="41"/>
      <c r="Q33" s="8"/>
      <c r="R33" s="9"/>
      <c r="S33" s="8"/>
      <c r="T33" s="8"/>
      <c r="U33" s="8"/>
      <c r="V33" s="8"/>
      <c r="W33" s="8"/>
      <c r="X33" s="8"/>
      <c r="Y33" s="8"/>
      <c r="Z33" s="8"/>
      <c r="AA33" s="9"/>
      <c r="AB33" s="9"/>
      <c r="AC33" s="9"/>
      <c r="AD33" s="9"/>
      <c r="AE33" s="9"/>
      <c r="AF33" s="9"/>
      <c r="AG33" s="9"/>
      <c r="AH33" s="9"/>
      <c r="AI33" s="9"/>
      <c r="AJ33" s="9"/>
      <c r="AK33" s="9"/>
      <c r="AL33" s="9"/>
      <c r="AM33" s="9"/>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row>
    <row r="34" spans="1:66" s="7" customFormat="1" ht="12.75" customHeight="1">
      <c r="A34" s="36">
        <v>33</v>
      </c>
      <c r="B34" s="125"/>
      <c r="C34" s="371"/>
      <c r="D34" s="371"/>
      <c r="E34" s="371"/>
      <c r="F34" s="823" t="s">
        <v>233</v>
      </c>
      <c r="G34" s="823"/>
      <c r="H34" s="897" t="str">
        <f>IF(OR(I23=N4,I23="   "),"   ",IF(AND(I23=N3,ISNUMBER(H29),L29&gt;=0,H29&lt;=0.0495,ISNUMBER(H30),L30&gt;=0,H30&lt;=0.1,ISNUMBER(H31),H31&gt;=H29+0.0005,H31&lt;=0.05,ISNUMBER(H32),H32&gt;=H30+0.0003,H32&lt;=0.1,ISNUMBER(H33),H33&gt;=0),N3,IF(AND(I23=N3,ISNUMBER(H29),H29=0,ISNUMBER(H30),H30&gt;=0,ISNUMBER(H31),H31&gt;=0,ISNUMBER(H32),H32&gt;=0,ISNUMBER(H33),H33=0),N3,N4)))</f>
        <v>   </v>
      </c>
      <c r="I34" s="898"/>
      <c r="J34" s="898"/>
      <c r="K34" s="898"/>
      <c r="L34" s="77"/>
      <c r="M34" s="148"/>
      <c r="N34" s="45"/>
      <c r="Q34" s="8"/>
      <c r="R34" s="9"/>
      <c r="S34" s="8"/>
      <c r="T34" s="8"/>
      <c r="U34" s="8"/>
      <c r="V34" s="8"/>
      <c r="W34" s="8"/>
      <c r="X34" s="8"/>
      <c r="Y34" s="8"/>
      <c r="Z34" s="8"/>
      <c r="AA34" s="9"/>
      <c r="AB34" s="9"/>
      <c r="AC34" s="9"/>
      <c r="AD34" s="9"/>
      <c r="AE34" s="9"/>
      <c r="AF34" s="9"/>
      <c r="AG34" s="9"/>
      <c r="AH34" s="9"/>
      <c r="AI34" s="9"/>
      <c r="AJ34" s="9"/>
      <c r="AK34" s="9"/>
      <c r="AL34" s="9"/>
      <c r="AM34" s="9"/>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row>
    <row r="35" spans="1:66" s="7" customFormat="1" ht="12.75" customHeight="1">
      <c r="A35" s="36">
        <v>34</v>
      </c>
      <c r="B35" s="699" t="s">
        <v>58</v>
      </c>
      <c r="C35" s="699"/>
      <c r="D35" s="940"/>
      <c r="E35" s="295" t="s">
        <v>55</v>
      </c>
      <c r="F35" s="816" t="s">
        <v>16</v>
      </c>
      <c r="G35" s="817"/>
      <c r="H35" s="871"/>
      <c r="I35" s="872"/>
      <c r="J35" s="872"/>
      <c r="K35" s="873"/>
      <c r="L35" s="585"/>
      <c r="M35" s="372"/>
      <c r="N35" s="43"/>
      <c r="Q35" s="8"/>
      <c r="R35" s="9"/>
      <c r="S35" s="8"/>
      <c r="T35" s="8"/>
      <c r="U35" s="8"/>
      <c r="V35" s="8"/>
      <c r="W35" s="8"/>
      <c r="X35" s="8"/>
      <c r="Y35" s="8"/>
      <c r="Z35" s="8"/>
      <c r="AA35" s="9"/>
      <c r="AB35" s="9"/>
      <c r="AC35" s="9"/>
      <c r="AD35" s="9"/>
      <c r="AE35" s="9"/>
      <c r="AF35" s="9"/>
      <c r="AG35" s="9"/>
      <c r="AH35" s="9"/>
      <c r="AI35" s="9"/>
      <c r="AJ35" s="9"/>
      <c r="AK35" s="9"/>
      <c r="AL35" s="9"/>
      <c r="AM35" s="9"/>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row>
    <row r="36" spans="1:66" s="7" customFormat="1" ht="12.75" customHeight="1">
      <c r="A36" s="36">
        <v>35</v>
      </c>
      <c r="B36" s="656" t="s">
        <v>290</v>
      </c>
      <c r="C36" s="656"/>
      <c r="D36" s="874"/>
      <c r="E36" s="364" t="s">
        <v>165</v>
      </c>
      <c r="F36" s="877" t="s">
        <v>291</v>
      </c>
      <c r="G36" s="649"/>
      <c r="H36" s="876"/>
      <c r="I36" s="798"/>
      <c r="J36" s="798"/>
      <c r="K36" s="799"/>
      <c r="L36" s="586" t="str">
        <f>IF(OR(H34="   ",H34=N4),"   ",IF(AND(H34=N3,H35=N36,ISNUMBER(H36),H36&gt;=0),N3,IF(AND(H34=N3,H35=N37,H36=0),N3,IF(AND(H34=N3,H35=N38,H36=0),N3,N4))))</f>
        <v>   </v>
      </c>
      <c r="M36" s="372"/>
      <c r="N36" s="32" t="s">
        <v>56</v>
      </c>
      <c r="Q36" s="8"/>
      <c r="R36" s="9"/>
      <c r="S36" s="8"/>
      <c r="T36" s="8"/>
      <c r="U36" s="8"/>
      <c r="V36" s="8"/>
      <c r="W36" s="8"/>
      <c r="X36" s="8"/>
      <c r="Y36" s="8"/>
      <c r="Z36" s="8"/>
      <c r="AA36" s="9"/>
      <c r="AB36" s="9"/>
      <c r="AC36" s="9"/>
      <c r="AD36" s="9"/>
      <c r="AE36" s="9"/>
      <c r="AF36" s="9"/>
      <c r="AG36" s="9"/>
      <c r="AH36" s="9"/>
      <c r="AI36" s="9"/>
      <c r="AJ36" s="9"/>
      <c r="AK36" s="9"/>
      <c r="AL36" s="9"/>
      <c r="AM36" s="9"/>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row>
    <row r="37" spans="1:66" s="7" customFormat="1" ht="12.75" customHeight="1">
      <c r="A37" s="36">
        <v>36</v>
      </c>
      <c r="B37" s="656" t="s">
        <v>94</v>
      </c>
      <c r="C37" s="656"/>
      <c r="D37" s="874"/>
      <c r="E37" s="622" t="s">
        <v>55</v>
      </c>
      <c r="F37" s="1037" t="s">
        <v>63</v>
      </c>
      <c r="G37" s="1038"/>
      <c r="H37" s="824"/>
      <c r="I37" s="825"/>
      <c r="J37" s="825"/>
      <c r="K37" s="826"/>
      <c r="L37" s="584"/>
      <c r="M37" s="148"/>
      <c r="N37" s="33" t="s">
        <v>57</v>
      </c>
      <c r="Q37" s="8"/>
      <c r="R37" s="9"/>
      <c r="S37" s="8"/>
      <c r="T37" s="8"/>
      <c r="U37" s="8"/>
      <c r="V37" s="8"/>
      <c r="W37" s="8"/>
      <c r="X37" s="8"/>
      <c r="Y37" s="8"/>
      <c r="Z37" s="8"/>
      <c r="AA37" s="9"/>
      <c r="AB37" s="9"/>
      <c r="AC37" s="9"/>
      <c r="AD37" s="9"/>
      <c r="AE37" s="9"/>
      <c r="AF37" s="9"/>
      <c r="AG37" s="9"/>
      <c r="AH37" s="9"/>
      <c r="AI37" s="9"/>
      <c r="AJ37" s="9"/>
      <c r="AK37" s="9"/>
      <c r="AL37" s="9"/>
      <c r="AM37" s="9"/>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row>
    <row r="38" spans="1:66" s="7" customFormat="1" ht="12.75" customHeight="1">
      <c r="A38" s="36">
        <v>37</v>
      </c>
      <c r="B38" s="656" t="s">
        <v>22</v>
      </c>
      <c r="C38" s="656"/>
      <c r="D38" s="874"/>
      <c r="E38" s="622" t="s">
        <v>55</v>
      </c>
      <c r="F38" s="1031" t="s">
        <v>16</v>
      </c>
      <c r="G38" s="1032"/>
      <c r="H38" s="824"/>
      <c r="I38" s="825"/>
      <c r="J38" s="825"/>
      <c r="K38" s="826"/>
      <c r="L38" s="584"/>
      <c r="M38" s="148"/>
      <c r="N38" s="32" t="s">
        <v>18</v>
      </c>
      <c r="Q38" s="8"/>
      <c r="R38" s="9"/>
      <c r="S38" s="8"/>
      <c r="T38" s="8"/>
      <c r="U38" s="8"/>
      <c r="V38" s="8"/>
      <c r="W38" s="8"/>
      <c r="X38" s="8"/>
      <c r="Y38" s="8"/>
      <c r="Z38" s="8"/>
      <c r="AA38" s="9"/>
      <c r="AB38" s="9"/>
      <c r="AC38" s="9"/>
      <c r="AD38" s="9"/>
      <c r="AE38" s="9"/>
      <c r="AF38" s="9"/>
      <c r="AG38" s="9"/>
      <c r="AH38" s="9"/>
      <c r="AI38" s="9"/>
      <c r="AJ38" s="9"/>
      <c r="AK38" s="9"/>
      <c r="AL38" s="9"/>
      <c r="AM38" s="9"/>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row>
    <row r="39" spans="1:66" s="7" customFormat="1" ht="12.75" customHeight="1">
      <c r="A39" s="36">
        <v>38</v>
      </c>
      <c r="B39" s="656" t="s">
        <v>59</v>
      </c>
      <c r="C39" s="656"/>
      <c r="D39" s="874"/>
      <c r="E39" s="374" t="s">
        <v>162</v>
      </c>
      <c r="F39" s="899" t="s">
        <v>292</v>
      </c>
      <c r="G39" s="715"/>
      <c r="H39" s="868"/>
      <c r="I39" s="869"/>
      <c r="J39" s="869"/>
      <c r="K39" s="870"/>
      <c r="L39" s="587"/>
      <c r="M39" s="375"/>
      <c r="N39" s="31" t="s">
        <v>70</v>
      </c>
      <c r="Q39" s="8"/>
      <c r="R39" s="9"/>
      <c r="S39" s="8"/>
      <c r="T39" s="8"/>
      <c r="U39" s="8"/>
      <c r="V39" s="8"/>
      <c r="W39" s="8"/>
      <c r="X39" s="8"/>
      <c r="Y39" s="8"/>
      <c r="Z39" s="8"/>
      <c r="AA39" s="9"/>
      <c r="AB39" s="9"/>
      <c r="AC39" s="9"/>
      <c r="AD39" s="9"/>
      <c r="AE39" s="9"/>
      <c r="AF39" s="9"/>
      <c r="AG39" s="9"/>
      <c r="AH39" s="9"/>
      <c r="AI39" s="9"/>
      <c r="AJ39" s="9"/>
      <c r="AK39" s="9"/>
      <c r="AL39" s="9"/>
      <c r="AM39" s="9"/>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row>
    <row r="40" spans="1:66" s="7" customFormat="1" ht="12.75" customHeight="1">
      <c r="A40" s="36">
        <v>39</v>
      </c>
      <c r="B40" s="656" t="s">
        <v>293</v>
      </c>
      <c r="C40" s="656"/>
      <c r="D40" s="874"/>
      <c r="E40" s="1033" t="s">
        <v>294</v>
      </c>
      <c r="F40" s="901"/>
      <c r="G40" s="174" t="str">
        <f>IF(OR(H34=N4,H34="   ",L36=N4),"   ",VLOOKUP(H8,'D1'!A127:'D1'!EV140,L5,0))</f>
        <v>   </v>
      </c>
      <c r="H40" s="866"/>
      <c r="I40" s="798"/>
      <c r="J40" s="798"/>
      <c r="K40" s="799"/>
      <c r="L40" s="584"/>
      <c r="M40" s="104"/>
      <c r="N40" s="45"/>
      <c r="Q40" s="8"/>
      <c r="R40" s="9"/>
      <c r="S40" s="8"/>
      <c r="T40" s="8"/>
      <c r="U40" s="8"/>
      <c r="V40" s="8"/>
      <c r="W40" s="8"/>
      <c r="X40" s="8"/>
      <c r="Y40" s="8"/>
      <c r="Z40" s="8"/>
      <c r="AA40" s="9"/>
      <c r="AB40" s="9"/>
      <c r="AC40" s="9"/>
      <c r="AD40" s="9"/>
      <c r="AE40" s="9"/>
      <c r="AF40" s="9"/>
      <c r="AG40" s="9"/>
      <c r="AH40" s="9"/>
      <c r="AI40" s="9"/>
      <c r="AJ40" s="9"/>
      <c r="AK40" s="9"/>
      <c r="AL40" s="9"/>
      <c r="AM40" s="9"/>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row>
    <row r="41" spans="1:66" s="7" customFormat="1" ht="12.75" customHeight="1">
      <c r="A41" s="36">
        <v>40</v>
      </c>
      <c r="B41" s="656" t="s">
        <v>249</v>
      </c>
      <c r="C41" s="656"/>
      <c r="D41" s="874"/>
      <c r="E41" s="622" t="s">
        <v>55</v>
      </c>
      <c r="F41" s="875" t="s">
        <v>295</v>
      </c>
      <c r="G41" s="660"/>
      <c r="H41" s="797"/>
      <c r="I41" s="798"/>
      <c r="J41" s="798"/>
      <c r="K41" s="799"/>
      <c r="L41" s="587"/>
      <c r="M41" s="331"/>
      <c r="N41" s="45"/>
      <c r="Q41" s="8"/>
      <c r="R41" s="9"/>
      <c r="S41" s="8"/>
      <c r="T41" s="8"/>
      <c r="U41" s="8"/>
      <c r="V41" s="8"/>
      <c r="W41" s="8"/>
      <c r="X41" s="8"/>
      <c r="Y41" s="8"/>
      <c r="Z41" s="8"/>
      <c r="AA41" s="9"/>
      <c r="AB41" s="9"/>
      <c r="AC41" s="9"/>
      <c r="AD41" s="9"/>
      <c r="AE41" s="9"/>
      <c r="AF41" s="9"/>
      <c r="AG41" s="9"/>
      <c r="AH41" s="9"/>
      <c r="AI41" s="9"/>
      <c r="AJ41" s="9"/>
      <c r="AK41" s="9"/>
      <c r="AL41" s="9"/>
      <c r="AM41" s="9"/>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row>
    <row r="42" spans="1:66" s="7" customFormat="1" ht="12.75" customHeight="1">
      <c r="A42" s="36">
        <v>41</v>
      </c>
      <c r="B42" s="656" t="s">
        <v>250</v>
      </c>
      <c r="C42" s="656"/>
      <c r="D42" s="874"/>
      <c r="E42" s="622" t="s">
        <v>55</v>
      </c>
      <c r="F42" s="875" t="s">
        <v>296</v>
      </c>
      <c r="G42" s="660"/>
      <c r="H42" s="797"/>
      <c r="I42" s="798"/>
      <c r="J42" s="798"/>
      <c r="K42" s="799"/>
      <c r="L42" s="587"/>
      <c r="M42" s="331"/>
      <c r="N42" s="31"/>
      <c r="Q42" s="8"/>
      <c r="R42" s="9"/>
      <c r="S42" s="8"/>
      <c r="T42" s="8"/>
      <c r="U42" s="8"/>
      <c r="V42" s="8"/>
      <c r="W42" s="8"/>
      <c r="X42" s="8"/>
      <c r="Y42" s="8"/>
      <c r="Z42" s="8"/>
      <c r="AA42" s="9"/>
      <c r="AB42" s="9"/>
      <c r="AC42" s="9"/>
      <c r="AD42" s="9"/>
      <c r="AE42" s="9"/>
      <c r="AF42" s="9"/>
      <c r="AG42" s="9"/>
      <c r="AH42" s="9"/>
      <c r="AI42" s="9"/>
      <c r="AJ42" s="9"/>
      <c r="AK42" s="9"/>
      <c r="AL42" s="9"/>
      <c r="AM42" s="9"/>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row>
    <row r="43" spans="1:66" s="7" customFormat="1" ht="12.75" customHeight="1">
      <c r="A43" s="36">
        <v>42</v>
      </c>
      <c r="B43" s="656" t="s">
        <v>11</v>
      </c>
      <c r="C43" s="656"/>
      <c r="D43" s="874"/>
      <c r="E43" s="622" t="s">
        <v>55</v>
      </c>
      <c r="F43" s="957" t="s">
        <v>16</v>
      </c>
      <c r="G43" s="958"/>
      <c r="H43" s="867"/>
      <c r="I43" s="825"/>
      <c r="J43" s="825"/>
      <c r="K43" s="826"/>
      <c r="L43" s="587"/>
      <c r="M43" s="331"/>
      <c r="N43" s="29"/>
      <c r="Q43" s="8"/>
      <c r="R43" s="9"/>
      <c r="S43" s="8"/>
      <c r="T43" s="8"/>
      <c r="U43" s="8"/>
      <c r="V43" s="8"/>
      <c r="W43" s="8"/>
      <c r="X43" s="8"/>
      <c r="Y43" s="8"/>
      <c r="Z43" s="8"/>
      <c r="AA43" s="9"/>
      <c r="AB43" s="9"/>
      <c r="AC43" s="9"/>
      <c r="AD43" s="9"/>
      <c r="AE43" s="9"/>
      <c r="AF43" s="9"/>
      <c r="AG43" s="9"/>
      <c r="AH43" s="9"/>
      <c r="AI43" s="9"/>
      <c r="AJ43" s="9"/>
      <c r="AK43" s="9"/>
      <c r="AL43" s="9"/>
      <c r="AM43" s="9"/>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row>
    <row r="44" spans="1:66" s="7" customFormat="1" ht="12.75" customHeight="1">
      <c r="A44" s="36">
        <v>43</v>
      </c>
      <c r="B44" s="656" t="s">
        <v>297</v>
      </c>
      <c r="C44" s="656"/>
      <c r="D44" s="874"/>
      <c r="E44" s="622" t="s">
        <v>55</v>
      </c>
      <c r="F44" s="899" t="s">
        <v>298</v>
      </c>
      <c r="G44" s="660"/>
      <c r="H44" s="657"/>
      <c r="I44" s="674"/>
      <c r="J44" s="674"/>
      <c r="K44" s="658"/>
      <c r="L44" s="587"/>
      <c r="M44" s="331"/>
      <c r="N44" s="33"/>
      <c r="Q44" s="8"/>
      <c r="R44" s="9"/>
      <c r="S44" s="8"/>
      <c r="T44" s="8"/>
      <c r="U44" s="8"/>
      <c r="V44" s="8"/>
      <c r="W44" s="8"/>
      <c r="X44" s="8"/>
      <c r="Y44" s="8"/>
      <c r="Z44" s="8"/>
      <c r="AA44" s="9"/>
      <c r="AB44" s="9"/>
      <c r="AC44" s="9"/>
      <c r="AD44" s="9"/>
      <c r="AE44" s="9"/>
      <c r="AF44" s="9"/>
      <c r="AG44" s="9"/>
      <c r="AH44" s="9"/>
      <c r="AI44" s="9"/>
      <c r="AJ44" s="9"/>
      <c r="AK44" s="9"/>
      <c r="AL44" s="9"/>
      <c r="AM44" s="9"/>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row>
    <row r="45" spans="1:66" s="7" customFormat="1" ht="12.75" customHeight="1">
      <c r="A45" s="36">
        <v>44</v>
      </c>
      <c r="B45" s="656" t="s">
        <v>252</v>
      </c>
      <c r="C45" s="656"/>
      <c r="D45" s="874"/>
      <c r="E45" s="622" t="s">
        <v>55</v>
      </c>
      <c r="F45" s="899" t="s">
        <v>299</v>
      </c>
      <c r="G45" s="715"/>
      <c r="H45" s="827"/>
      <c r="I45" s="674"/>
      <c r="J45" s="674"/>
      <c r="K45" s="658"/>
      <c r="L45" s="584"/>
      <c r="M45" s="331"/>
      <c r="N45" s="33"/>
      <c r="Q45" s="8"/>
      <c r="R45" s="9"/>
      <c r="S45" s="8"/>
      <c r="T45" s="8"/>
      <c r="U45" s="8"/>
      <c r="V45" s="8"/>
      <c r="W45" s="8"/>
      <c r="X45" s="8"/>
      <c r="Y45" s="8"/>
      <c r="Z45" s="8"/>
      <c r="AA45" s="9"/>
      <c r="AB45" s="9"/>
      <c r="AC45" s="9"/>
      <c r="AD45" s="9"/>
      <c r="AE45" s="9"/>
      <c r="AF45" s="9"/>
      <c r="AG45" s="9"/>
      <c r="AH45" s="9"/>
      <c r="AI45" s="9"/>
      <c r="AJ45" s="9"/>
      <c r="AK45" s="9"/>
      <c r="AL45" s="9"/>
      <c r="AM45" s="9"/>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row>
    <row r="46" spans="1:66" s="7" customFormat="1" ht="12.75" customHeight="1">
      <c r="A46" s="36">
        <v>45</v>
      </c>
      <c r="B46" s="656" t="s">
        <v>51</v>
      </c>
      <c r="C46" s="656"/>
      <c r="D46" s="874"/>
      <c r="E46" s="900" t="s">
        <v>133</v>
      </c>
      <c r="F46" s="901"/>
      <c r="G46" s="193" t="str">
        <f>IF(OR(H34=N4,H34="   ",L36=N4),"   ",VLOOKUP(H8,'D1'!A142:'D1'!C155,2,0))</f>
        <v>   </v>
      </c>
      <c r="H46" s="673"/>
      <c r="I46" s="674"/>
      <c r="J46" s="674"/>
      <c r="K46" s="664"/>
      <c r="L46" s="588"/>
      <c r="M46" s="104"/>
      <c r="N46" s="33"/>
      <c r="Q46" s="8"/>
      <c r="R46" s="9"/>
      <c r="S46" s="8"/>
      <c r="T46" s="8"/>
      <c r="U46" s="8"/>
      <c r="V46" s="8"/>
      <c r="W46" s="8"/>
      <c r="X46" s="8"/>
      <c r="Y46" s="8"/>
      <c r="Z46" s="8"/>
      <c r="AA46" s="9"/>
      <c r="AB46" s="9"/>
      <c r="AC46" s="9"/>
      <c r="AD46" s="9"/>
      <c r="AE46" s="9"/>
      <c r="AF46" s="9"/>
      <c r="AG46" s="9"/>
      <c r="AH46" s="9"/>
      <c r="AI46" s="9"/>
      <c r="AJ46" s="9"/>
      <c r="AK46" s="9"/>
      <c r="AL46" s="9"/>
      <c r="AM46" s="9"/>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row>
    <row r="47" spans="1:66" s="7" customFormat="1" ht="18" customHeight="1">
      <c r="A47" s="36">
        <v>46</v>
      </c>
      <c r="B47" s="959" t="s">
        <v>300</v>
      </c>
      <c r="C47" s="960"/>
      <c r="D47" s="960"/>
      <c r="E47" s="960"/>
      <c r="F47" s="960"/>
      <c r="G47" s="960"/>
      <c r="H47" s="878" t="str">
        <f>IF(OR(H34=N4,H34="   ",L36=N4),"   ",IF(AND(H34=N3,ISTEXT(H35),L36=N3,ISTEXT(H37),ISTEXT(H38),H39&gt;1,H40&gt;=1,H41&gt;=1,H42&gt;=1,ISTEXT(H43),H44&gt;=0.6,H44&lt;=1,H45&gt;=0.6,H45&lt;=1,H46&gt;=1.2),N3,N4))</f>
        <v>   </v>
      </c>
      <c r="I47" s="879"/>
      <c r="J47" s="879"/>
      <c r="K47" s="879"/>
      <c r="L47" s="194"/>
      <c r="M47" s="375"/>
      <c r="N47" s="33"/>
      <c r="Q47" s="8"/>
      <c r="R47" s="9"/>
      <c r="S47" s="8"/>
      <c r="T47" s="8"/>
      <c r="U47" s="8"/>
      <c r="V47" s="8"/>
      <c r="W47" s="8"/>
      <c r="X47" s="8"/>
      <c r="Y47" s="8"/>
      <c r="Z47" s="8"/>
      <c r="AA47" s="9"/>
      <c r="AB47" s="9"/>
      <c r="AC47" s="9"/>
      <c r="AD47" s="9"/>
      <c r="AE47" s="9"/>
      <c r="AF47" s="9"/>
      <c r="AG47" s="9"/>
      <c r="AH47" s="9"/>
      <c r="AI47" s="9"/>
      <c r="AJ47" s="9"/>
      <c r="AK47" s="9"/>
      <c r="AL47" s="9"/>
      <c r="AM47" s="9"/>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row>
    <row r="48" spans="1:14" ht="12.75" customHeight="1">
      <c r="A48" s="36">
        <v>47</v>
      </c>
      <c r="B48" s="955" t="s">
        <v>161</v>
      </c>
      <c r="C48" s="955"/>
      <c r="D48" s="956"/>
      <c r="E48" s="376" t="s">
        <v>163</v>
      </c>
      <c r="F48" s="1036" t="s">
        <v>301</v>
      </c>
      <c r="G48" s="663"/>
      <c r="H48" s="533" t="str">
        <f>IF(OR(H47=N4,H47="   "),"   ",10)</f>
        <v>   </v>
      </c>
      <c r="I48" s="662" t="str">
        <f>IF(H48="   ","   ",20)</f>
        <v>   </v>
      </c>
      <c r="J48" s="663"/>
      <c r="K48" s="534" t="str">
        <f>IF(H48="   ","   ",30)</f>
        <v>   </v>
      </c>
      <c r="L48" s="589"/>
      <c r="N48" s="34"/>
    </row>
    <row r="49" spans="1:66" s="7" customFormat="1" ht="12.75" customHeight="1">
      <c r="A49" s="36">
        <v>48</v>
      </c>
      <c r="B49" s="656" t="s">
        <v>251</v>
      </c>
      <c r="C49" s="656"/>
      <c r="D49" s="874"/>
      <c r="E49" s="364" t="s">
        <v>163</v>
      </c>
      <c r="F49" s="660" t="s">
        <v>302</v>
      </c>
      <c r="G49" s="660"/>
      <c r="H49" s="943" t="str">
        <f>IF(H48="   ","   ",EVEN(H10))</f>
        <v>   </v>
      </c>
      <c r="I49" s="737"/>
      <c r="J49" s="660"/>
      <c r="K49" s="715"/>
      <c r="L49" s="590" t="e">
        <f>HLOOKUP(H49,'D1'!$A$3:'D1'!$EV$4,2,0)</f>
        <v>#N/A</v>
      </c>
      <c r="M49" s="104"/>
      <c r="N49" s="33"/>
      <c r="Q49" s="8"/>
      <c r="R49" s="9"/>
      <c r="S49" s="8"/>
      <c r="T49" s="8"/>
      <c r="U49" s="8"/>
      <c r="V49" s="8"/>
      <c r="W49" s="8"/>
      <c r="X49" s="8"/>
      <c r="Y49" s="8"/>
      <c r="Z49" s="8"/>
      <c r="AA49" s="9"/>
      <c r="AB49" s="9"/>
      <c r="AC49" s="9"/>
      <c r="AD49" s="9"/>
      <c r="AE49" s="9"/>
      <c r="AF49" s="9"/>
      <c r="AG49" s="9"/>
      <c r="AH49" s="9"/>
      <c r="AI49" s="9"/>
      <c r="AJ49" s="9"/>
      <c r="AK49" s="9"/>
      <c r="AL49" s="9"/>
      <c r="AM49" s="9"/>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row>
    <row r="50" spans="1:66" s="7" customFormat="1" ht="12.75" customHeight="1">
      <c r="A50" s="36">
        <v>49</v>
      </c>
      <c r="B50" s="656" t="s">
        <v>303</v>
      </c>
      <c r="C50" s="656"/>
      <c r="D50" s="874"/>
      <c r="E50" s="364" t="s">
        <v>163</v>
      </c>
      <c r="F50" s="932" t="s">
        <v>304</v>
      </c>
      <c r="G50" s="932"/>
      <c r="H50" s="943" t="str">
        <f>IF(OR(H48="   ",F6=N8),"   ",IF(H35=N38,ROUNDUP(0.5*(H49+I48),0),ROUNDUP(0.5*(H49+H48),0)))</f>
        <v>   </v>
      </c>
      <c r="I50" s="737"/>
      <c r="J50" s="660"/>
      <c r="K50" s="715"/>
      <c r="L50" s="591" t="e">
        <f>HLOOKUP(H50,'D1'!$A$3:'D1'!$EV$4,2,0)</f>
        <v>#N/A</v>
      </c>
      <c r="M50" s="104"/>
      <c r="N50" s="33" t="s">
        <v>32</v>
      </c>
      <c r="Q50" s="8"/>
      <c r="R50" s="9"/>
      <c r="S50" s="8"/>
      <c r="T50" s="8"/>
      <c r="U50" s="8"/>
      <c r="V50" s="8"/>
      <c r="W50" s="8"/>
      <c r="X50" s="8"/>
      <c r="Y50" s="8"/>
      <c r="Z50" s="8"/>
      <c r="AA50" s="9"/>
      <c r="AB50" s="9"/>
      <c r="AC50" s="9"/>
      <c r="AD50" s="9"/>
      <c r="AE50" s="9"/>
      <c r="AF50" s="9"/>
      <c r="AG50" s="9"/>
      <c r="AH50" s="9"/>
      <c r="AI50" s="9"/>
      <c r="AJ50" s="9"/>
      <c r="AK50" s="9"/>
      <c r="AL50" s="9"/>
      <c r="AM50" s="9"/>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row>
    <row r="51" spans="1:66" s="7" customFormat="1" ht="12.75" customHeight="1">
      <c r="A51" s="36">
        <v>50</v>
      </c>
      <c r="B51" s="656" t="s">
        <v>305</v>
      </c>
      <c r="C51" s="656"/>
      <c r="D51" s="874"/>
      <c r="E51" s="364" t="s">
        <v>163</v>
      </c>
      <c r="F51" s="932" t="s">
        <v>306</v>
      </c>
      <c r="G51" s="932"/>
      <c r="H51" s="535" t="str">
        <f>IF(H50="   ","   ",ROUNDUP((H50+50)/2,0))</f>
        <v>   </v>
      </c>
      <c r="I51" s="941" t="e">
        <f>HLOOKUP(H51,'D1'!$A$3:'D1'!$EV$4,2,0)</f>
        <v>#N/A</v>
      </c>
      <c r="J51" s="942"/>
      <c r="K51" s="536" t="str">
        <f>IF(H50="   ","   ",IF(OR(H35=N36,H35=N37),50,H51))</f>
        <v>   </v>
      </c>
      <c r="L51" s="592" t="e">
        <f>HLOOKUP(K51,'D1'!$A$3:'D1'!$EV$4,2,0)</f>
        <v>#N/A</v>
      </c>
      <c r="N51" s="33" t="s">
        <v>27</v>
      </c>
      <c r="Q51" s="8"/>
      <c r="R51" s="9"/>
      <c r="S51" s="8"/>
      <c r="T51" s="8"/>
      <c r="U51" s="8"/>
      <c r="V51" s="8"/>
      <c r="W51" s="8"/>
      <c r="X51" s="8"/>
      <c r="Y51" s="8"/>
      <c r="Z51" s="8"/>
      <c r="AA51" s="9"/>
      <c r="AB51" s="9"/>
      <c r="AC51" s="9"/>
      <c r="AD51" s="9"/>
      <c r="AE51" s="9"/>
      <c r="AF51" s="9"/>
      <c r="AG51" s="9"/>
      <c r="AH51" s="9"/>
      <c r="AI51" s="9"/>
      <c r="AJ51" s="9"/>
      <c r="AK51" s="9"/>
      <c r="AL51" s="9"/>
      <c r="AM51" s="9"/>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row>
    <row r="52" spans="1:66" s="7" customFormat="1" ht="12.75" customHeight="1">
      <c r="A52" s="36">
        <v>51</v>
      </c>
      <c r="B52" s="763" t="s">
        <v>308</v>
      </c>
      <c r="C52" s="656"/>
      <c r="D52" s="874"/>
      <c r="E52" s="364" t="s">
        <v>163</v>
      </c>
      <c r="F52" s="932" t="s">
        <v>307</v>
      </c>
      <c r="G52" s="932"/>
      <c r="H52" s="1028" t="str">
        <f>IF(H50="   ","   ",IF(H35=N36,0,"entfällt"))</f>
        <v>   </v>
      </c>
      <c r="I52" s="1029"/>
      <c r="J52" s="783"/>
      <c r="K52" s="1030"/>
      <c r="L52" s="593" t="e">
        <f>IF(H52="entfällt","   ",HLOOKUP(H52,'D1'!$A$3:'D1'!$EV$4,2,0))</f>
        <v>#N/A</v>
      </c>
      <c r="M52" s="104"/>
      <c r="N52" s="33"/>
      <c r="Q52" s="8"/>
      <c r="R52" s="9"/>
      <c r="S52" s="8"/>
      <c r="T52" s="8"/>
      <c r="U52" s="8"/>
      <c r="V52" s="8"/>
      <c r="W52" s="8"/>
      <c r="X52" s="8"/>
      <c r="Y52" s="8"/>
      <c r="Z52" s="8"/>
      <c r="AA52" s="9"/>
      <c r="AB52" s="9"/>
      <c r="AC52" s="9"/>
      <c r="AD52" s="9"/>
      <c r="AE52" s="9"/>
      <c r="AF52" s="9"/>
      <c r="AG52" s="9"/>
      <c r="AH52" s="9"/>
      <c r="AI52" s="9"/>
      <c r="AJ52" s="9"/>
      <c r="AK52" s="9"/>
      <c r="AL52" s="9"/>
      <c r="AM52" s="9"/>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row>
    <row r="53" spans="1:66" s="7" customFormat="1" ht="15" customHeight="1">
      <c r="A53" s="82">
        <v>52</v>
      </c>
      <c r="B53" s="195"/>
      <c r="C53" s="199"/>
      <c r="D53" s="136"/>
      <c r="E53" s="200"/>
      <c r="F53" s="377"/>
      <c r="G53" s="378"/>
      <c r="H53" s="196"/>
      <c r="I53" s="379"/>
      <c r="J53" s="379"/>
      <c r="K53" s="379"/>
      <c r="L53" s="326" t="s">
        <v>164</v>
      </c>
      <c r="M53" s="375"/>
      <c r="N53" s="33"/>
      <c r="Q53" s="8"/>
      <c r="R53" s="9"/>
      <c r="S53" s="8"/>
      <c r="T53" s="8"/>
      <c r="U53" s="8"/>
      <c r="V53" s="8"/>
      <c r="W53" s="8"/>
      <c r="X53" s="8"/>
      <c r="Y53" s="8"/>
      <c r="Z53" s="8"/>
      <c r="AA53" s="9"/>
      <c r="AB53" s="9"/>
      <c r="AC53" s="9"/>
      <c r="AD53" s="9"/>
      <c r="AE53" s="9"/>
      <c r="AF53" s="9"/>
      <c r="AG53" s="9"/>
      <c r="AH53" s="9"/>
      <c r="AI53" s="9"/>
      <c r="AJ53" s="9"/>
      <c r="AK53" s="9"/>
      <c r="AL53" s="9"/>
      <c r="AM53" s="9"/>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row>
    <row r="54" spans="1:66" s="7" customFormat="1" ht="18" customHeight="1">
      <c r="A54" s="35">
        <v>53</v>
      </c>
      <c r="B54" s="78" t="s">
        <v>5</v>
      </c>
      <c r="C54" s="78"/>
      <c r="D54" s="79"/>
      <c r="E54" s="80" t="s">
        <v>2</v>
      </c>
      <c r="F54" s="933" t="s">
        <v>41</v>
      </c>
      <c r="G54" s="934"/>
      <c r="H54" s="1008" t="s">
        <v>40</v>
      </c>
      <c r="I54" s="1009"/>
      <c r="J54" s="1009"/>
      <c r="K54" s="934"/>
      <c r="L54" s="146" t="s">
        <v>34</v>
      </c>
      <c r="M54" s="148"/>
      <c r="N54" s="33"/>
      <c r="Q54" s="8"/>
      <c r="R54" s="9"/>
      <c r="S54" s="8"/>
      <c r="T54" s="8"/>
      <c r="U54" s="8"/>
      <c r="V54" s="8"/>
      <c r="W54" s="8"/>
      <c r="X54" s="8"/>
      <c r="Y54" s="8"/>
      <c r="Z54" s="8"/>
      <c r="AA54" s="9"/>
      <c r="AB54" s="9"/>
      <c r="AC54" s="9"/>
      <c r="AD54" s="9"/>
      <c r="AE54" s="9"/>
      <c r="AF54" s="9"/>
      <c r="AG54" s="9"/>
      <c r="AH54" s="9"/>
      <c r="AI54" s="9"/>
      <c r="AJ54" s="9"/>
      <c r="AK54" s="9"/>
      <c r="AL54" s="9"/>
      <c r="AM54" s="9"/>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row>
    <row r="55" spans="1:66" s="7" customFormat="1" ht="15.75" customHeight="1">
      <c r="A55" s="36">
        <v>54</v>
      </c>
      <c r="B55" s="918" t="s">
        <v>26</v>
      </c>
      <c r="C55" s="994"/>
      <c r="D55" s="994"/>
      <c r="E55" s="994"/>
      <c r="F55" s="994"/>
      <c r="G55" s="994"/>
      <c r="H55" s="994"/>
      <c r="I55" s="994"/>
      <c r="J55" s="994"/>
      <c r="K55" s="994"/>
      <c r="L55" s="77"/>
      <c r="M55" s="104"/>
      <c r="N55" s="126" t="s">
        <v>30</v>
      </c>
      <c r="Q55" s="8"/>
      <c r="R55" s="9"/>
      <c r="S55" s="8"/>
      <c r="T55" s="8"/>
      <c r="U55" s="8"/>
      <c r="V55" s="8"/>
      <c r="W55" s="8"/>
      <c r="X55" s="8"/>
      <c r="Y55" s="8"/>
      <c r="Z55" s="8"/>
      <c r="AA55" s="9"/>
      <c r="AB55" s="9"/>
      <c r="AC55" s="9"/>
      <c r="AD55" s="9"/>
      <c r="AE55" s="9"/>
      <c r="AF55" s="9"/>
      <c r="AG55" s="9"/>
      <c r="AH55" s="9"/>
      <c r="AI55" s="9"/>
      <c r="AJ55" s="9"/>
      <c r="AK55" s="9"/>
      <c r="AL55" s="9"/>
      <c r="AM55" s="9"/>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row>
    <row r="56" spans="1:66" s="7" customFormat="1" ht="12.75" customHeight="1">
      <c r="A56" s="36">
        <v>55</v>
      </c>
      <c r="B56" s="699" t="s">
        <v>309</v>
      </c>
      <c r="C56" s="699"/>
      <c r="D56" s="699"/>
      <c r="E56" s="622" t="s">
        <v>55</v>
      </c>
      <c r="F56" s="937" t="s">
        <v>310</v>
      </c>
      <c r="G56" s="699"/>
      <c r="H56" s="807" t="str">
        <f>IF(H48="   ","   ",1.1)</f>
        <v>   </v>
      </c>
      <c r="I56" s="808"/>
      <c r="J56" s="808"/>
      <c r="K56" s="809"/>
      <c r="L56" s="594"/>
      <c r="M56" s="104"/>
      <c r="N56" s="33"/>
      <c r="Q56" s="8"/>
      <c r="R56" s="9"/>
      <c r="S56" s="8"/>
      <c r="T56" s="8"/>
      <c r="U56" s="8"/>
      <c r="V56" s="8"/>
      <c r="W56" s="8"/>
      <c r="X56" s="8"/>
      <c r="Y56" s="8"/>
      <c r="Z56" s="8"/>
      <c r="AA56" s="9"/>
      <c r="AB56" s="9"/>
      <c r="AC56" s="9"/>
      <c r="AD56" s="9"/>
      <c r="AE56" s="9"/>
      <c r="AF56" s="9"/>
      <c r="AG56" s="9"/>
      <c r="AH56" s="9"/>
      <c r="AI56" s="9"/>
      <c r="AJ56" s="9"/>
      <c r="AK56" s="9"/>
      <c r="AL56" s="9"/>
      <c r="AM56" s="9"/>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row>
    <row r="57" spans="1:66" s="7" customFormat="1" ht="12.75" customHeight="1">
      <c r="A57" s="36">
        <v>56</v>
      </c>
      <c r="B57" s="656" t="s">
        <v>75</v>
      </c>
      <c r="C57" s="656"/>
      <c r="D57" s="696"/>
      <c r="E57" s="71" t="s">
        <v>10</v>
      </c>
      <c r="F57" s="661" t="s">
        <v>319</v>
      </c>
      <c r="G57" s="660"/>
      <c r="H57" s="668" t="str">
        <f>IF(H48="   ","   ",IF(H9=N13,VLOOKUP(H8,'D1'!A21:'D1'!EV34,L49,0),IF(H9=N14,VLOOKUP(H8,'D1'!A36:'D1'!EV49,L49,0),IF(H9=N15,VLOOKUP(H8,'D1'!A51:'D1'!EV64,L49,0),IF(H9=N16,VLOOKUP(H8,'D1'!A66:'D1'!EV79,L49,0))))))</f>
        <v>   </v>
      </c>
      <c r="I57" s="669"/>
      <c r="J57" s="669"/>
      <c r="K57" s="670"/>
      <c r="L57" s="584"/>
      <c r="M57" s="104"/>
      <c r="N57" s="33" t="s">
        <v>31</v>
      </c>
      <c r="Q57" s="8"/>
      <c r="R57" s="9"/>
      <c r="S57" s="8"/>
      <c r="T57" s="8"/>
      <c r="U57" s="8"/>
      <c r="V57" s="8"/>
      <c r="W57" s="8"/>
      <c r="X57" s="8"/>
      <c r="Y57" s="8"/>
      <c r="Z57" s="8"/>
      <c r="AA57" s="9"/>
      <c r="AB57" s="9"/>
      <c r="AC57" s="9"/>
      <c r="AD57" s="9"/>
      <c r="AE57" s="9"/>
      <c r="AF57" s="9"/>
      <c r="AG57" s="9"/>
      <c r="AH57" s="9"/>
      <c r="AI57" s="9"/>
      <c r="AJ57" s="9"/>
      <c r="AK57" s="9"/>
      <c r="AL57" s="9"/>
      <c r="AM57" s="9"/>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row>
    <row r="58" spans="1:66" s="7" customFormat="1" ht="12.75" customHeight="1">
      <c r="A58" s="36">
        <v>57</v>
      </c>
      <c r="B58" s="656" t="s">
        <v>76</v>
      </c>
      <c r="C58" s="656"/>
      <c r="D58" s="696"/>
      <c r="E58" s="71" t="s">
        <v>10</v>
      </c>
      <c r="F58" s="858" t="s">
        <v>311</v>
      </c>
      <c r="G58" s="660"/>
      <c r="H58" s="668" t="str">
        <f>IF(H48="   ","   ",IF(H9=N13,VLOOKUP(H8,'D1'!A21:'D1'!EV34,42,0),IF(H9=N14,VLOOKUP(H8,'D1'!A36:'D1'!EV49,42,0),IF(H9=N15,VLOOKUP(H8,'D1'!A51:'D1'!EV64,42,0),IF(H9=N16,VLOOKUP(H8,'D1'!A66:'D1'!EV79,42,0))))))</f>
        <v>   </v>
      </c>
      <c r="I58" s="669"/>
      <c r="J58" s="669"/>
      <c r="K58" s="670"/>
      <c r="L58" s="595"/>
      <c r="M58" s="104"/>
      <c r="N58" s="33"/>
      <c r="Q58" s="8"/>
      <c r="R58" s="9"/>
      <c r="S58" s="8"/>
      <c r="T58" s="8"/>
      <c r="U58" s="8"/>
      <c r="V58" s="8"/>
      <c r="W58" s="8"/>
      <c r="X58" s="8"/>
      <c r="Y58" s="8"/>
      <c r="Z58" s="8"/>
      <c r="AA58" s="9"/>
      <c r="AB58" s="9"/>
      <c r="AC58" s="9"/>
      <c r="AD58" s="9"/>
      <c r="AE58" s="9"/>
      <c r="AF58" s="9"/>
      <c r="AG58" s="9"/>
      <c r="AH58" s="9"/>
      <c r="AI58" s="9"/>
      <c r="AJ58" s="9"/>
      <c r="AK58" s="9"/>
      <c r="AL58" s="9"/>
      <c r="AM58" s="9"/>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row>
    <row r="59" spans="1:66" s="7" customFormat="1" ht="12.75" customHeight="1">
      <c r="A59" s="36">
        <v>58</v>
      </c>
      <c r="B59" s="928" t="s">
        <v>312</v>
      </c>
      <c r="C59" s="656"/>
      <c r="D59" s="656"/>
      <c r="E59" s="71" t="s">
        <v>10</v>
      </c>
      <c r="F59" s="858" t="s">
        <v>313</v>
      </c>
      <c r="G59" s="660"/>
      <c r="H59" s="668" t="str">
        <f>IF(H50="   ","   ",IF(H9=N13,VLOOKUP(H8,'D1'!A21:'D1'!EV34,L50,0),IF(H9=N14,VLOOKUP(H8,'D1'!A36:'D1'!EV49,L50,0),IF(H9=N15,VLOOKUP(H8,'D1'!A51:'D1'!EV64,L50,0),IF(H9=N16,VLOOKUP(H8,'D1'!A66:'D1'!EV79,L50,0))))))</f>
        <v>   </v>
      </c>
      <c r="I59" s="669"/>
      <c r="J59" s="669"/>
      <c r="K59" s="670"/>
      <c r="L59" s="595"/>
      <c r="M59" s="104"/>
      <c r="N59" s="33"/>
      <c r="Q59" s="8"/>
      <c r="R59" s="9"/>
      <c r="S59" s="8"/>
      <c r="T59" s="8"/>
      <c r="U59" s="8"/>
      <c r="V59" s="8"/>
      <c r="W59" s="8"/>
      <c r="X59" s="8"/>
      <c r="Y59" s="8"/>
      <c r="Z59" s="8"/>
      <c r="AA59" s="9"/>
      <c r="AB59" s="9"/>
      <c r="AC59" s="9"/>
      <c r="AD59" s="9"/>
      <c r="AE59" s="9"/>
      <c r="AF59" s="9"/>
      <c r="AG59" s="9"/>
      <c r="AH59" s="9"/>
      <c r="AI59" s="9"/>
      <c r="AJ59" s="9"/>
      <c r="AK59" s="9"/>
      <c r="AL59" s="9"/>
      <c r="AM59" s="9"/>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row>
    <row r="60" spans="1:66" s="7" customFormat="1" ht="12.75" customHeight="1">
      <c r="A60" s="36">
        <v>59</v>
      </c>
      <c r="B60" s="537" t="s">
        <v>47</v>
      </c>
      <c r="C60" s="38"/>
      <c r="D60" s="38"/>
      <c r="E60" s="71" t="s">
        <v>10</v>
      </c>
      <c r="F60" s="858" t="s">
        <v>314</v>
      </c>
      <c r="G60" s="660"/>
      <c r="H60" s="668" t="str">
        <f>IF(H50="   ","   ",IF(H9=N13,VLOOKUP(H8,'D1'!A21:'D1'!EV34,I51,0),IF(H9=N14,VLOOKUP(H8,'D1'!A36:'D1'!EV49,I51,0),IF(H9=N15,VLOOKUP(H8,'D1'!A51:'D1'!EV64,I51,0),IF(H9=N16,VLOOKUP(H8,'D1'!A66:'D1'!EV79,I51,0))))))</f>
        <v>   </v>
      </c>
      <c r="I60" s="669"/>
      <c r="J60" s="669"/>
      <c r="K60" s="670"/>
      <c r="L60" s="595"/>
      <c r="M60" s="104"/>
      <c r="N60" s="33"/>
      <c r="Q60" s="8"/>
      <c r="R60" s="9"/>
      <c r="S60" s="8"/>
      <c r="T60" s="8"/>
      <c r="U60" s="8"/>
      <c r="V60" s="8"/>
      <c r="W60" s="8"/>
      <c r="X60" s="8"/>
      <c r="Y60" s="8"/>
      <c r="Z60" s="8"/>
      <c r="AA60" s="9"/>
      <c r="AB60" s="9"/>
      <c r="AC60" s="9"/>
      <c r="AD60" s="9"/>
      <c r="AE60" s="9"/>
      <c r="AF60" s="9"/>
      <c r="AG60" s="9"/>
      <c r="AH60" s="9"/>
      <c r="AI60" s="9"/>
      <c r="AJ60" s="9"/>
      <c r="AK60" s="9"/>
      <c r="AL60" s="9"/>
      <c r="AM60" s="9"/>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row>
    <row r="61" spans="1:66" s="7" customFormat="1" ht="12.75" customHeight="1">
      <c r="A61" s="36">
        <v>60</v>
      </c>
      <c r="B61" s="538" t="s">
        <v>48</v>
      </c>
      <c r="C61" s="59"/>
      <c r="D61" s="59"/>
      <c r="E61" s="72" t="s">
        <v>10</v>
      </c>
      <c r="F61" s="831" t="s">
        <v>318</v>
      </c>
      <c r="G61" s="783"/>
      <c r="H61" s="665" t="str">
        <f>IF(H50="   ","   ",IF(OR(H35=N37,H35=N38),"entfällt",IF(H9=N13,VLOOKUP(H8,'D1'!A21:'D1'!EV34,L52,0),IF(H9=N14,VLOOKUP(H8,'D1'!A36:'D1'!EV49,L52,0),IF(H9=N15,VLOOKUP(H8,'D1'!A51:'D1'!EV64,L52,0),IF(H9=N16,VLOOKUP(H8,'D1'!A66:'D1'!EV79,L52,0)))))))</f>
        <v>   </v>
      </c>
      <c r="I61" s="666"/>
      <c r="J61" s="666"/>
      <c r="K61" s="667"/>
      <c r="L61" s="584"/>
      <c r="M61" s="104"/>
      <c r="N61" s="33"/>
      <c r="Q61" s="8"/>
      <c r="R61" s="9"/>
      <c r="S61" s="8"/>
      <c r="T61" s="8"/>
      <c r="U61" s="8"/>
      <c r="V61" s="8"/>
      <c r="W61" s="8"/>
      <c r="X61" s="8"/>
      <c r="Y61" s="8"/>
      <c r="Z61" s="8"/>
      <c r="AA61" s="9"/>
      <c r="AB61" s="9"/>
      <c r="AC61" s="9"/>
      <c r="AD61" s="9"/>
      <c r="AE61" s="9"/>
      <c r="AF61" s="9"/>
      <c r="AG61" s="9"/>
      <c r="AH61" s="9"/>
      <c r="AI61" s="9"/>
      <c r="AJ61" s="9"/>
      <c r="AK61" s="9"/>
      <c r="AL61" s="9"/>
      <c r="AM61" s="9"/>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row>
    <row r="62" spans="1:66" s="7" customFormat="1" ht="12.75" customHeight="1">
      <c r="A62" s="36">
        <v>61</v>
      </c>
      <c r="B62" s="656" t="s">
        <v>84</v>
      </c>
      <c r="C62" s="656"/>
      <c r="D62" s="656"/>
      <c r="E62" s="71" t="s">
        <v>10</v>
      </c>
      <c r="F62" s="660" t="s">
        <v>315</v>
      </c>
      <c r="G62" s="660"/>
      <c r="H62" s="678" t="str">
        <f>IF(H48="   ","   ",VLOOKUP(H8,'D1'!A6:'D1'!EV19,L49,0))</f>
        <v>   </v>
      </c>
      <c r="I62" s="679"/>
      <c r="J62" s="679"/>
      <c r="K62" s="676"/>
      <c r="L62" s="584"/>
      <c r="M62" s="104"/>
      <c r="N62" s="33"/>
      <c r="Q62" s="8"/>
      <c r="R62" s="9"/>
      <c r="S62" s="8"/>
      <c r="T62" s="8"/>
      <c r="U62" s="8"/>
      <c r="V62" s="8"/>
      <c r="W62" s="8"/>
      <c r="X62" s="8"/>
      <c r="Y62" s="8"/>
      <c r="Z62" s="8"/>
      <c r="AA62" s="9"/>
      <c r="AB62" s="9"/>
      <c r="AC62" s="9"/>
      <c r="AD62" s="9"/>
      <c r="AE62" s="9"/>
      <c r="AF62" s="9"/>
      <c r="AG62" s="9"/>
      <c r="AH62" s="9"/>
      <c r="AI62" s="9"/>
      <c r="AJ62" s="9"/>
      <c r="AK62" s="9"/>
      <c r="AL62" s="9"/>
      <c r="AM62" s="9"/>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row>
    <row r="63" spans="1:66" s="7" customFormat="1" ht="12.75" customHeight="1">
      <c r="A63" s="36">
        <v>62</v>
      </c>
      <c r="B63" s="539" t="s">
        <v>316</v>
      </c>
      <c r="C63" s="21"/>
      <c r="D63" s="21"/>
      <c r="E63" s="71" t="s">
        <v>10</v>
      </c>
      <c r="F63" s="660" t="s">
        <v>320</v>
      </c>
      <c r="G63" s="660"/>
      <c r="H63" s="668" t="str">
        <f>IF(H50="   ","   ",VLOOKUP($H$8,'D1'!A6:'D1'!EV19,I51,0))</f>
        <v>   </v>
      </c>
      <c r="I63" s="935"/>
      <c r="J63" s="935"/>
      <c r="K63" s="936"/>
      <c r="L63" s="584"/>
      <c r="M63" s="104"/>
      <c r="N63" s="33"/>
      <c r="Q63" s="8"/>
      <c r="R63" s="9"/>
      <c r="S63" s="8"/>
      <c r="T63" s="8"/>
      <c r="U63" s="8"/>
      <c r="V63" s="8"/>
      <c r="W63" s="8"/>
      <c r="X63" s="8"/>
      <c r="Y63" s="8"/>
      <c r="Z63" s="8"/>
      <c r="AA63" s="9"/>
      <c r="AB63" s="9"/>
      <c r="AC63" s="9"/>
      <c r="AD63" s="9"/>
      <c r="AE63" s="9"/>
      <c r="AF63" s="9"/>
      <c r="AG63" s="9"/>
      <c r="AH63" s="9"/>
      <c r="AI63" s="9"/>
      <c r="AJ63" s="9"/>
      <c r="AK63" s="9"/>
      <c r="AL63" s="9"/>
      <c r="AM63" s="9"/>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row>
    <row r="64" spans="1:66" s="7" customFormat="1" ht="12.75" customHeight="1">
      <c r="A64" s="36">
        <v>63</v>
      </c>
      <c r="B64" s="539" t="s">
        <v>317</v>
      </c>
      <c r="C64" s="21"/>
      <c r="D64" s="21"/>
      <c r="E64" s="71" t="s">
        <v>10</v>
      </c>
      <c r="F64" s="660" t="s">
        <v>321</v>
      </c>
      <c r="G64" s="660"/>
      <c r="H64" s="665" t="str">
        <f>IF(H50="   ","   ",IF(OR(H35=N37,H35=N38),"entfällt",VLOOKUP($H$8,'D1'!A6:'D1'!EV19,L52,0)))</f>
        <v>   </v>
      </c>
      <c r="I64" s="938"/>
      <c r="J64" s="938"/>
      <c r="K64" s="939"/>
      <c r="L64" s="584"/>
      <c r="M64" s="104"/>
      <c r="N64" s="33"/>
      <c r="Q64" s="8"/>
      <c r="R64" s="9"/>
      <c r="S64" s="8"/>
      <c r="T64" s="8"/>
      <c r="U64" s="8"/>
      <c r="V64" s="8"/>
      <c r="W64" s="8"/>
      <c r="X64" s="8"/>
      <c r="Y64" s="8"/>
      <c r="Z64" s="8"/>
      <c r="AA64" s="9"/>
      <c r="AB64" s="9"/>
      <c r="AC64" s="9"/>
      <c r="AD64" s="9"/>
      <c r="AE64" s="9"/>
      <c r="AF64" s="9"/>
      <c r="AG64" s="9"/>
      <c r="AH64" s="9"/>
      <c r="AI64" s="9"/>
      <c r="AJ64" s="9"/>
      <c r="AK64" s="9"/>
      <c r="AL64" s="9"/>
      <c r="AM64" s="9"/>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row>
    <row r="65" spans="1:66" s="7" customFormat="1" ht="12.75" customHeight="1">
      <c r="A65" s="36">
        <v>64</v>
      </c>
      <c r="B65" s="540" t="s">
        <v>322</v>
      </c>
      <c r="C65" s="61"/>
      <c r="D65" s="61"/>
      <c r="E65" s="70" t="s">
        <v>10</v>
      </c>
      <c r="F65" s="937" t="s">
        <v>323</v>
      </c>
      <c r="G65" s="808"/>
      <c r="H65" s="678" t="str">
        <f>IF(H48="   ","   ",(1/H56)*VLOOKUP(H8,'D1'!A81:'D1'!EV94,L49,0))</f>
        <v>   </v>
      </c>
      <c r="I65" s="679"/>
      <c r="J65" s="808"/>
      <c r="K65" s="809"/>
      <c r="L65" s="584"/>
      <c r="M65" s="104"/>
      <c r="N65" s="33"/>
      <c r="Q65" s="8"/>
      <c r="R65" s="9"/>
      <c r="S65" s="8"/>
      <c r="T65" s="8"/>
      <c r="U65" s="8"/>
      <c r="V65" s="8"/>
      <c r="W65" s="8"/>
      <c r="X65" s="8"/>
      <c r="Y65" s="8"/>
      <c r="Z65" s="8"/>
      <c r="AA65" s="9"/>
      <c r="AB65" s="9"/>
      <c r="AC65" s="9"/>
      <c r="AD65" s="9"/>
      <c r="AE65" s="9"/>
      <c r="AF65" s="9"/>
      <c r="AG65" s="9"/>
      <c r="AH65" s="9"/>
      <c r="AI65" s="9"/>
      <c r="AJ65" s="9"/>
      <c r="AK65" s="9"/>
      <c r="AL65" s="9"/>
      <c r="AM65" s="9"/>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row>
    <row r="66" spans="1:66" s="7" customFormat="1" ht="12.75" customHeight="1">
      <c r="A66" s="36">
        <v>65</v>
      </c>
      <c r="B66" s="539" t="s">
        <v>322</v>
      </c>
      <c r="C66" s="21"/>
      <c r="D66" s="21"/>
      <c r="E66" s="858" t="s">
        <v>324</v>
      </c>
      <c r="F66" s="660"/>
      <c r="G66" s="660"/>
      <c r="H66" s="319" t="str">
        <f>IF(H50="   ","   ",IF(OR(H35=N37,H35=N38),"entfällt",(1/H56)*VLOOKUP($H$8,'D1'!A81:'D1'!EV94,12,0)))</f>
        <v>   </v>
      </c>
      <c r="I66" s="659" t="str">
        <f>IF(H50="   ","   ",(1/H56)*VLOOKUP($H$8,'D1'!A81:'D1'!EV94,L50,0))</f>
        <v>   </v>
      </c>
      <c r="J66" s="660"/>
      <c r="K66" s="542" t="str">
        <f>IF(H50="   ","   ",(1/H56)*VLOOKUP($H$8,'D1'!A81:'D1'!EV94,L51,0))</f>
        <v>   </v>
      </c>
      <c r="L66" s="585"/>
      <c r="M66" s="104"/>
      <c r="N66" s="33"/>
      <c r="Q66" s="8"/>
      <c r="R66" s="9"/>
      <c r="S66" s="8"/>
      <c r="T66" s="8"/>
      <c r="U66" s="8"/>
      <c r="V66" s="8"/>
      <c r="W66" s="8"/>
      <c r="X66" s="8"/>
      <c r="Y66" s="8"/>
      <c r="Z66" s="8"/>
      <c r="AA66" s="9"/>
      <c r="AB66" s="9"/>
      <c r="AC66" s="9"/>
      <c r="AD66" s="9"/>
      <c r="AE66" s="9"/>
      <c r="AF66" s="9"/>
      <c r="AG66" s="9"/>
      <c r="AH66" s="9"/>
      <c r="AI66" s="9"/>
      <c r="AJ66" s="9"/>
      <c r="AK66" s="9"/>
      <c r="AL66" s="9"/>
      <c r="AM66" s="9"/>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row>
    <row r="67" spans="1:66" s="7" customFormat="1" ht="12.75" customHeight="1">
      <c r="A67" s="36">
        <v>66</v>
      </c>
      <c r="B67" s="656" t="s">
        <v>325</v>
      </c>
      <c r="C67" s="656"/>
      <c r="D67" s="696"/>
      <c r="E67" s="71" t="s">
        <v>10</v>
      </c>
      <c r="F67" s="858" t="s">
        <v>326</v>
      </c>
      <c r="G67" s="660"/>
      <c r="H67" s="675" t="str">
        <f>IF($H$48="   ","   ",(1/H42)*(1/1.1)*VLOOKUP(H8,'D1'!A81:'D1'!EV94,42,0))</f>
        <v>   </v>
      </c>
      <c r="I67" s="671"/>
      <c r="J67" s="671"/>
      <c r="K67" s="672"/>
      <c r="L67" s="596"/>
      <c r="M67" s="104"/>
      <c r="N67" s="33"/>
      <c r="Q67" s="8"/>
      <c r="R67" s="9"/>
      <c r="S67" s="8"/>
      <c r="T67" s="8"/>
      <c r="U67" s="8"/>
      <c r="V67" s="8"/>
      <c r="W67" s="8"/>
      <c r="X67" s="8"/>
      <c r="Y67" s="8"/>
      <c r="Z67" s="8"/>
      <c r="AA67" s="9"/>
      <c r="AB67" s="9"/>
      <c r="AC67" s="9"/>
      <c r="AD67" s="9"/>
      <c r="AE67" s="9"/>
      <c r="AF67" s="9"/>
      <c r="AG67" s="9"/>
      <c r="AH67" s="9"/>
      <c r="AI67" s="9"/>
      <c r="AJ67" s="9"/>
      <c r="AK67" s="9"/>
      <c r="AL67" s="9"/>
      <c r="AM67" s="9"/>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row>
    <row r="68" spans="1:66" s="7" customFormat="1" ht="15.75" customHeight="1">
      <c r="A68" s="36">
        <v>67</v>
      </c>
      <c r="B68" s="918" t="s">
        <v>118</v>
      </c>
      <c r="C68" s="1070"/>
      <c r="D68" s="1070"/>
      <c r="E68" s="1070"/>
      <c r="F68" s="1070"/>
      <c r="G68" s="1070"/>
      <c r="H68" s="141"/>
      <c r="I68" s="380"/>
      <c r="J68" s="380"/>
      <c r="K68" s="381"/>
      <c r="L68" s="46"/>
      <c r="M68" s="104"/>
      <c r="N68" s="33"/>
      <c r="Q68" s="8"/>
      <c r="R68" s="9"/>
      <c r="S68" s="8"/>
      <c r="T68" s="8"/>
      <c r="U68" s="8"/>
      <c r="V68" s="8"/>
      <c r="W68" s="8"/>
      <c r="X68" s="8"/>
      <c r="Y68" s="8"/>
      <c r="Z68" s="8"/>
      <c r="AA68" s="9"/>
      <c r="AB68" s="9"/>
      <c r="AC68" s="9"/>
      <c r="AD68" s="9"/>
      <c r="AE68" s="9"/>
      <c r="AF68" s="9"/>
      <c r="AG68" s="9"/>
      <c r="AH68" s="9"/>
      <c r="AI68" s="9"/>
      <c r="AJ68" s="9"/>
      <c r="AK68" s="9"/>
      <c r="AL68" s="9"/>
      <c r="AM68" s="9"/>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row>
    <row r="69" spans="1:66" s="7" customFormat="1" ht="12.75" customHeight="1">
      <c r="A69" s="36">
        <v>68</v>
      </c>
      <c r="B69" s="656" t="s">
        <v>50</v>
      </c>
      <c r="C69" s="656"/>
      <c r="D69" s="874"/>
      <c r="E69" s="622" t="s">
        <v>55</v>
      </c>
      <c r="F69" s="858" t="s">
        <v>327</v>
      </c>
      <c r="G69" s="660"/>
      <c r="H69" s="678" t="str">
        <f>IF($H$48="   ","   ",IF(H43=N31,1,IF(H43=N32,1.2,0)))</f>
        <v>   </v>
      </c>
      <c r="I69" s="679"/>
      <c r="J69" s="679"/>
      <c r="K69" s="676"/>
      <c r="L69" s="584"/>
      <c r="M69" s="104"/>
      <c r="N69" s="33"/>
      <c r="Q69" s="8"/>
      <c r="R69" s="9"/>
      <c r="S69" s="8"/>
      <c r="T69" s="8"/>
      <c r="U69" s="8"/>
      <c r="V69" s="8"/>
      <c r="W69" s="8"/>
      <c r="X69" s="8"/>
      <c r="Y69" s="8"/>
      <c r="Z69" s="8"/>
      <c r="AA69" s="9"/>
      <c r="AB69" s="9"/>
      <c r="AC69" s="9"/>
      <c r="AD69" s="9"/>
      <c r="AE69" s="9"/>
      <c r="AF69" s="9"/>
      <c r="AG69" s="9"/>
      <c r="AH69" s="9"/>
      <c r="AI69" s="9"/>
      <c r="AJ69" s="9"/>
      <c r="AK69" s="9"/>
      <c r="AL69" s="9"/>
      <c r="AM69" s="9"/>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row>
    <row r="70" spans="1:66" s="7" customFormat="1" ht="12.75" customHeight="1">
      <c r="A70" s="36">
        <v>69</v>
      </c>
      <c r="B70" s="656" t="s">
        <v>328</v>
      </c>
      <c r="C70" s="656"/>
      <c r="D70" s="656"/>
      <c r="E70" s="656"/>
      <c r="F70" s="172" t="s">
        <v>329</v>
      </c>
      <c r="G70" s="323" t="s">
        <v>330</v>
      </c>
      <c r="H70" s="544" t="str">
        <f>IF($H$48="   ","   ",1.35)</f>
        <v>   </v>
      </c>
      <c r="I70" s="524"/>
      <c r="J70" s="38"/>
      <c r="K70" s="542" t="str">
        <f>IF($H$48="   ","   ",1.5)</f>
        <v>   </v>
      </c>
      <c r="L70" s="584"/>
      <c r="M70" s="104"/>
      <c r="N70" s="33"/>
      <c r="Q70" s="8"/>
      <c r="R70" s="9"/>
      <c r="S70" s="8"/>
      <c r="T70" s="8"/>
      <c r="U70" s="8"/>
      <c r="V70" s="8"/>
      <c r="W70" s="8"/>
      <c r="X70" s="8"/>
      <c r="Y70" s="8"/>
      <c r="Z70" s="8"/>
      <c r="AA70" s="9"/>
      <c r="AB70" s="9"/>
      <c r="AC70" s="9"/>
      <c r="AD70" s="9"/>
      <c r="AE70" s="9"/>
      <c r="AF70" s="9"/>
      <c r="AG70" s="9"/>
      <c r="AH70" s="9"/>
      <c r="AI70" s="9"/>
      <c r="AJ70" s="9"/>
      <c r="AK70" s="9"/>
      <c r="AL70" s="9"/>
      <c r="AM70" s="9"/>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row>
    <row r="71" spans="1:66" s="7" customFormat="1" ht="12.75" customHeight="1">
      <c r="A71" s="36">
        <v>70</v>
      </c>
      <c r="B71" s="656" t="s">
        <v>331</v>
      </c>
      <c r="C71" s="656"/>
      <c r="D71" s="874"/>
      <c r="E71" s="622" t="s">
        <v>55</v>
      </c>
      <c r="F71" s="858" t="s">
        <v>332</v>
      </c>
      <c r="G71" s="660"/>
      <c r="H71" s="668" t="str">
        <f>IF($H$48="   ","   ",0.9)</f>
        <v>   </v>
      </c>
      <c r="I71" s="935"/>
      <c r="J71" s="935"/>
      <c r="K71" s="936"/>
      <c r="L71" s="584"/>
      <c r="M71" s="104"/>
      <c r="N71" s="33"/>
      <c r="Q71" s="8"/>
      <c r="R71" s="9"/>
      <c r="S71" s="8"/>
      <c r="T71" s="8"/>
      <c r="U71" s="8"/>
      <c r="V71" s="8"/>
      <c r="W71" s="8"/>
      <c r="X71" s="8"/>
      <c r="Y71" s="8"/>
      <c r="Z71" s="8"/>
      <c r="AA71" s="9"/>
      <c r="AB71" s="9"/>
      <c r="AC71" s="9"/>
      <c r="AD71" s="9"/>
      <c r="AE71" s="9"/>
      <c r="AF71" s="9"/>
      <c r="AG71" s="9"/>
      <c r="AH71" s="9"/>
      <c r="AI71" s="9"/>
      <c r="AJ71" s="9"/>
      <c r="AK71" s="9"/>
      <c r="AL71" s="9"/>
      <c r="AM71" s="9"/>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row>
    <row r="72" spans="1:66" s="7" customFormat="1" ht="12.75" customHeight="1">
      <c r="A72" s="36">
        <v>71</v>
      </c>
      <c r="B72" s="931" t="s">
        <v>156</v>
      </c>
      <c r="C72" s="656"/>
      <c r="D72" s="874"/>
      <c r="E72" s="71" t="s">
        <v>126</v>
      </c>
      <c r="F72" s="877" t="s">
        <v>333</v>
      </c>
      <c r="G72" s="660"/>
      <c r="H72" s="943" t="str">
        <f>IF($H$48="   ","   ",VLOOKUP($H$8,'D1'!A142:'D1'!C155,3,0))</f>
        <v>   </v>
      </c>
      <c r="I72" s="737"/>
      <c r="J72" s="737"/>
      <c r="K72" s="996"/>
      <c r="L72" s="584"/>
      <c r="M72" s="104"/>
      <c r="N72" s="33"/>
      <c r="Q72" s="8"/>
      <c r="R72" s="9"/>
      <c r="S72" s="8"/>
      <c r="T72" s="8"/>
      <c r="U72" s="8"/>
      <c r="V72" s="8"/>
      <c r="W72" s="8"/>
      <c r="X72" s="8"/>
      <c r="Y72" s="8"/>
      <c r="Z72" s="8"/>
      <c r="AA72" s="9"/>
      <c r="AB72" s="9"/>
      <c r="AC72" s="9"/>
      <c r="AD72" s="9"/>
      <c r="AE72" s="9"/>
      <c r="AF72" s="9"/>
      <c r="AG72" s="9"/>
      <c r="AH72" s="9"/>
      <c r="AI72" s="9"/>
      <c r="AJ72" s="9"/>
      <c r="AK72" s="9"/>
      <c r="AL72" s="9"/>
      <c r="AM72" s="9"/>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row>
    <row r="73" spans="1:66" s="7" customFormat="1" ht="12.75" customHeight="1">
      <c r="A73" s="36">
        <v>72</v>
      </c>
      <c r="B73" s="722" t="s">
        <v>334</v>
      </c>
      <c r="C73" s="722"/>
      <c r="D73" s="723"/>
      <c r="E73" s="72" t="s">
        <v>10</v>
      </c>
      <c r="F73" s="929" t="s">
        <v>335</v>
      </c>
      <c r="G73" s="790"/>
      <c r="H73" s="733" t="str">
        <f>IF($H$48="   ","   ",IF(H43=N31,H57*H44/(H40*H41*1.3),(H57*H44/(H40*H41*2))))</f>
        <v>   </v>
      </c>
      <c r="I73" s="734"/>
      <c r="J73" s="734"/>
      <c r="K73" s="735"/>
      <c r="L73" s="597"/>
      <c r="M73" s="104"/>
      <c r="N73" s="33"/>
      <c r="Q73" s="8"/>
      <c r="R73" s="9"/>
      <c r="S73" s="8"/>
      <c r="T73" s="8"/>
      <c r="U73" s="8"/>
      <c r="V73" s="8"/>
      <c r="W73" s="8"/>
      <c r="X73" s="8"/>
      <c r="Y73" s="8"/>
      <c r="Z73" s="8"/>
      <c r="AA73" s="9"/>
      <c r="AB73" s="9"/>
      <c r="AC73" s="9"/>
      <c r="AD73" s="9"/>
      <c r="AE73" s="9"/>
      <c r="AF73" s="9"/>
      <c r="AG73" s="9"/>
      <c r="AH73" s="9"/>
      <c r="AI73" s="9"/>
      <c r="AJ73" s="9"/>
      <c r="AK73" s="9"/>
      <c r="AL73" s="9"/>
      <c r="AM73" s="9"/>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row>
    <row r="74" spans="1:14" ht="15.75" customHeight="1">
      <c r="A74" s="36">
        <v>73</v>
      </c>
      <c r="B74" s="752" t="s">
        <v>167</v>
      </c>
      <c r="C74" s="753"/>
      <c r="D74" s="753"/>
      <c r="E74" s="753"/>
      <c r="F74" s="753"/>
      <c r="G74" s="753"/>
      <c r="H74" s="754"/>
      <c r="I74" s="754"/>
      <c r="J74" s="754"/>
      <c r="K74" s="754"/>
      <c r="L74" s="755"/>
      <c r="N74" s="34"/>
    </row>
    <row r="75" spans="1:66" s="21" customFormat="1" ht="12" customHeight="1">
      <c r="A75" s="36">
        <v>74</v>
      </c>
      <c r="B75" s="135"/>
      <c r="C75" s="383"/>
      <c r="D75" s="383"/>
      <c r="E75" s="383"/>
      <c r="F75" s="383"/>
      <c r="G75" s="383"/>
      <c r="H75" s="384"/>
      <c r="I75" s="710"/>
      <c r="J75" s="710"/>
      <c r="K75" s="385"/>
      <c r="L75" s="357"/>
      <c r="M75" s="148"/>
      <c r="N75" s="32"/>
      <c r="Q75" s="149"/>
      <c r="R75" s="150"/>
      <c r="S75" s="149"/>
      <c r="T75" s="149"/>
      <c r="U75" s="149"/>
      <c r="V75" s="149"/>
      <c r="W75" s="149"/>
      <c r="X75" s="149"/>
      <c r="Y75" s="149"/>
      <c r="Z75" s="149"/>
      <c r="AA75" s="150"/>
      <c r="AB75" s="150"/>
      <c r="AC75" s="150"/>
      <c r="AD75" s="150"/>
      <c r="AE75" s="150"/>
      <c r="AF75" s="150"/>
      <c r="AG75" s="150"/>
      <c r="AH75" s="150"/>
      <c r="AI75" s="150"/>
      <c r="AJ75" s="150"/>
      <c r="AK75" s="150"/>
      <c r="AL75" s="150"/>
      <c r="AM75" s="150"/>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row>
    <row r="76" spans="1:66" s="7" customFormat="1" ht="13.5" customHeight="1">
      <c r="A76" s="36">
        <v>75</v>
      </c>
      <c r="B76" s="699" t="s">
        <v>119</v>
      </c>
      <c r="C76" s="699"/>
      <c r="D76" s="699"/>
      <c r="E76" s="151" t="s">
        <v>10</v>
      </c>
      <c r="F76" s="930" t="s">
        <v>337</v>
      </c>
      <c r="G76" s="699"/>
      <c r="H76" s="741" t="str">
        <f>IF(H48="   ","   ",0.001*H39*9.81*J16/1000000)</f>
        <v>   </v>
      </c>
      <c r="I76" s="742"/>
      <c r="J76" s="742"/>
      <c r="K76" s="743"/>
      <c r="L76" s="598"/>
      <c r="M76" s="104"/>
      <c r="N76" s="33"/>
      <c r="Q76" s="8"/>
      <c r="R76" s="9"/>
      <c r="S76" s="8"/>
      <c r="T76" s="8"/>
      <c r="U76" s="8"/>
      <c r="V76" s="8"/>
      <c r="W76" s="8"/>
      <c r="X76" s="8"/>
      <c r="Y76" s="8"/>
      <c r="Z76" s="8"/>
      <c r="AA76" s="9"/>
      <c r="AB76" s="9"/>
      <c r="AC76" s="9"/>
      <c r="AD76" s="9"/>
      <c r="AE76" s="9"/>
      <c r="AF76" s="9"/>
      <c r="AG76" s="9"/>
      <c r="AH76" s="9"/>
      <c r="AI76" s="9"/>
      <c r="AJ76" s="9"/>
      <c r="AK76" s="9"/>
      <c r="AL76" s="9"/>
      <c r="AM76" s="9"/>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row>
    <row r="77" spans="1:66" s="7" customFormat="1" ht="16.5" customHeight="1">
      <c r="A77" s="36">
        <v>76</v>
      </c>
      <c r="B77" s="963" t="s">
        <v>336</v>
      </c>
      <c r="C77" s="886"/>
      <c r="D77" s="886"/>
      <c r="E77" s="387" t="s">
        <v>8</v>
      </c>
      <c r="F77" s="927" t="s">
        <v>338</v>
      </c>
      <c r="G77" s="896"/>
      <c r="H77" s="744" t="str">
        <f>IF(H48="   ","   ",0.001*(J17+J19)*PI()*0.001*J14*J19*H72*9.81)</f>
        <v>   </v>
      </c>
      <c r="I77" s="745"/>
      <c r="J77" s="745"/>
      <c r="K77" s="746"/>
      <c r="L77" s="585"/>
      <c r="M77" s="388"/>
      <c r="N77" s="33"/>
      <c r="Q77" s="8"/>
      <c r="R77" s="9"/>
      <c r="S77" s="8"/>
      <c r="T77" s="8"/>
      <c r="U77" s="8"/>
      <c r="V77" s="8"/>
      <c r="W77" s="8"/>
      <c r="X77" s="8"/>
      <c r="Y77" s="8"/>
      <c r="Z77" s="8"/>
      <c r="AA77" s="9"/>
      <c r="AB77" s="9"/>
      <c r="AC77" s="9"/>
      <c r="AD77" s="9"/>
      <c r="AE77" s="9"/>
      <c r="AF77" s="9"/>
      <c r="AG77" s="9"/>
      <c r="AH77" s="9"/>
      <c r="AI77" s="9"/>
      <c r="AJ77" s="9"/>
      <c r="AK77" s="9"/>
      <c r="AL77" s="9"/>
      <c r="AM77" s="9"/>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row>
    <row r="78" spans="1:66" s="7" customFormat="1" ht="12.75" customHeight="1">
      <c r="A78" s="36">
        <v>77</v>
      </c>
      <c r="B78" s="928" t="s">
        <v>339</v>
      </c>
      <c r="C78" s="656"/>
      <c r="D78" s="656"/>
      <c r="E78" s="389" t="s">
        <v>8</v>
      </c>
      <c r="F78" s="172" t="s">
        <v>341</v>
      </c>
      <c r="G78" s="323" t="s">
        <v>340</v>
      </c>
      <c r="H78" s="238" t="str">
        <f>IF(H48="   ","   ",H77+I77+K77)</f>
        <v>   </v>
      </c>
      <c r="I78" s="390"/>
      <c r="J78" s="239"/>
      <c r="K78" s="240" t="str">
        <f>IF(H48="   ","   ",POWER(J18*0.001,2)*(PI()/4)*J21*H72*9.81)</f>
        <v>   </v>
      </c>
      <c r="L78" s="73"/>
      <c r="M78" s="104"/>
      <c r="N78" s="33"/>
      <c r="Q78" s="8"/>
      <c r="R78" s="9"/>
      <c r="S78" s="8"/>
      <c r="T78" s="8"/>
      <c r="U78" s="8"/>
      <c r="V78" s="8"/>
      <c r="W78" s="8"/>
      <c r="X78" s="8"/>
      <c r="Y78" s="8"/>
      <c r="Z78" s="8"/>
      <c r="AA78" s="9"/>
      <c r="AB78" s="9"/>
      <c r="AC78" s="9"/>
      <c r="AD78" s="9"/>
      <c r="AE78" s="9"/>
      <c r="AF78" s="9"/>
      <c r="AG78" s="9"/>
      <c r="AH78" s="9"/>
      <c r="AI78" s="9"/>
      <c r="AJ78" s="9"/>
      <c r="AK78" s="9"/>
      <c r="AL78" s="9"/>
      <c r="AM78" s="9"/>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row>
    <row r="79" spans="1:66" s="7" customFormat="1" ht="12.75" customHeight="1">
      <c r="A79" s="36">
        <v>78</v>
      </c>
      <c r="B79" s="922" t="s">
        <v>342</v>
      </c>
      <c r="C79" s="656"/>
      <c r="D79" s="696"/>
      <c r="E79" s="201" t="s">
        <v>166</v>
      </c>
      <c r="F79" s="877" t="s">
        <v>343</v>
      </c>
      <c r="G79" s="715"/>
      <c r="H79" s="241">
        <f>IF(H48="   ",0,(H72*9.81*J20*0.000001/(SIN(2*PI()*(90-J15)/360)))+K79)</f>
        <v>0</v>
      </c>
      <c r="I79" s="391"/>
      <c r="J79" s="242"/>
      <c r="K79" s="243">
        <f>IF(H50="   ",0,H33*4/(J17*J17*PI()))</f>
        <v>0</v>
      </c>
      <c r="L79" s="73"/>
      <c r="M79" s="104"/>
      <c r="N79" s="33"/>
      <c r="Q79" s="8"/>
      <c r="R79" s="9"/>
      <c r="S79" s="8"/>
      <c r="T79" s="8"/>
      <c r="U79" s="8"/>
      <c r="V79" s="8"/>
      <c r="W79" s="8"/>
      <c r="X79" s="8"/>
      <c r="Y79" s="8"/>
      <c r="Z79" s="8"/>
      <c r="AA79" s="9"/>
      <c r="AB79" s="9"/>
      <c r="AC79" s="9"/>
      <c r="AD79" s="9"/>
      <c r="AE79" s="9"/>
      <c r="AF79" s="9"/>
      <c r="AG79" s="9"/>
      <c r="AH79" s="9"/>
      <c r="AI79" s="9"/>
      <c r="AJ79" s="9"/>
      <c r="AK79" s="9"/>
      <c r="AL79" s="9"/>
      <c r="AM79" s="9"/>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row>
    <row r="80" spans="1:66" s="7" customFormat="1" ht="12.75" customHeight="1">
      <c r="A80" s="36">
        <v>79</v>
      </c>
      <c r="B80" s="656" t="s">
        <v>134</v>
      </c>
      <c r="C80" s="656"/>
      <c r="D80" s="696"/>
      <c r="E80" s="202" t="s">
        <v>8</v>
      </c>
      <c r="F80" s="651" t="s">
        <v>344</v>
      </c>
      <c r="G80" s="660"/>
      <c r="H80" s="244">
        <f>IF(H50="   ",0,(0.001*(J17/2)*PI()*0.001*J20*(J17/2)/SIN(2*PI()*((90-J15)/360)))*H72*9.81)</f>
        <v>0</v>
      </c>
      <c r="I80" s="392"/>
      <c r="J80" s="239"/>
      <c r="K80" s="211">
        <f>IF(H50="   ",0,H80+H33)</f>
        <v>0</v>
      </c>
      <c r="L80" s="170"/>
      <c r="N80" s="33"/>
      <c r="Q80" s="8"/>
      <c r="R80" s="9"/>
      <c r="S80" s="8"/>
      <c r="T80" s="8"/>
      <c r="U80" s="8"/>
      <c r="V80" s="8"/>
      <c r="W80" s="8"/>
      <c r="X80" s="8"/>
      <c r="Y80" s="8"/>
      <c r="Z80" s="8"/>
      <c r="AA80" s="9"/>
      <c r="AB80" s="9"/>
      <c r="AC80" s="9"/>
      <c r="AD80" s="9"/>
      <c r="AE80" s="9"/>
      <c r="AF80" s="9"/>
      <c r="AG80" s="9"/>
      <c r="AH80" s="9"/>
      <c r="AI80" s="9"/>
      <c r="AJ80" s="9"/>
      <c r="AK80" s="9"/>
      <c r="AL80" s="9"/>
      <c r="AM80" s="9"/>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row>
    <row r="81" spans="1:66" s="7" customFormat="1" ht="12.75" customHeight="1">
      <c r="A81" s="36">
        <v>80</v>
      </c>
      <c r="B81" s="907" t="s">
        <v>114</v>
      </c>
      <c r="C81" s="907"/>
      <c r="D81" s="907"/>
      <c r="E81" s="202" t="s">
        <v>115</v>
      </c>
      <c r="F81" s="648" t="s">
        <v>345</v>
      </c>
      <c r="G81" s="660"/>
      <c r="H81" s="747" t="str">
        <f>IF(H48="   ","   ",(H78+K78+K80)*0.001)</f>
        <v>   </v>
      </c>
      <c r="I81" s="748"/>
      <c r="J81" s="749"/>
      <c r="K81" s="750"/>
      <c r="L81" s="73"/>
      <c r="M81" s="104"/>
      <c r="N81" s="33"/>
      <c r="Q81" s="8"/>
      <c r="R81" s="9"/>
      <c r="S81" s="8"/>
      <c r="T81" s="8"/>
      <c r="U81" s="8"/>
      <c r="V81" s="8"/>
      <c r="W81" s="8"/>
      <c r="X81" s="8"/>
      <c r="Y81" s="8"/>
      <c r="Z81" s="8"/>
      <c r="AA81" s="9"/>
      <c r="AB81" s="9"/>
      <c r="AC81" s="9"/>
      <c r="AD81" s="9"/>
      <c r="AE81" s="9"/>
      <c r="AF81" s="9"/>
      <c r="AG81" s="9"/>
      <c r="AH81" s="9"/>
      <c r="AI81" s="9"/>
      <c r="AJ81" s="9"/>
      <c r="AK81" s="9"/>
      <c r="AL81" s="9"/>
      <c r="AM81" s="9"/>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row>
    <row r="82" spans="1:66" s="7" customFormat="1" ht="12.75" customHeight="1">
      <c r="A82" s="36">
        <v>81</v>
      </c>
      <c r="B82" s="907" t="s">
        <v>86</v>
      </c>
      <c r="C82" s="907"/>
      <c r="D82" s="907"/>
      <c r="E82" s="202" t="s">
        <v>115</v>
      </c>
      <c r="F82" s="648" t="s">
        <v>358</v>
      </c>
      <c r="G82" s="660"/>
      <c r="H82" s="904" t="str">
        <f>IF(H48="   ","   ",H81+0.001*(POWER(0.001*J17,2)*(PI()/4)*0.001*J16*H39*9.81))</f>
        <v>   </v>
      </c>
      <c r="I82" s="905"/>
      <c r="J82" s="905"/>
      <c r="K82" s="906"/>
      <c r="L82" s="73"/>
      <c r="M82" s="104"/>
      <c r="N82" s="33"/>
      <c r="Q82" s="8"/>
      <c r="R82" s="9"/>
      <c r="S82" s="8"/>
      <c r="T82" s="8"/>
      <c r="U82" s="8"/>
      <c r="V82" s="8"/>
      <c r="W82" s="8"/>
      <c r="X82" s="8"/>
      <c r="Y82" s="8"/>
      <c r="Z82" s="8"/>
      <c r="AA82" s="9"/>
      <c r="AB82" s="9"/>
      <c r="AC82" s="9"/>
      <c r="AD82" s="9"/>
      <c r="AE82" s="9"/>
      <c r="AF82" s="9"/>
      <c r="AG82" s="9"/>
      <c r="AH82" s="9"/>
      <c r="AI82" s="9"/>
      <c r="AJ82" s="9"/>
      <c r="AK82" s="9"/>
      <c r="AL82" s="9"/>
      <c r="AM82" s="9"/>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row>
    <row r="83" spans="1:66" s="7" customFormat="1" ht="12.75" customHeight="1">
      <c r="A83" s="36">
        <v>82</v>
      </c>
      <c r="B83" s="923" t="s">
        <v>346</v>
      </c>
      <c r="C83" s="923"/>
      <c r="D83" s="924"/>
      <c r="E83" s="203" t="s">
        <v>168</v>
      </c>
      <c r="F83" s="925" t="s">
        <v>347</v>
      </c>
      <c r="G83" s="926"/>
      <c r="H83" s="168" t="str">
        <f>IF(H48="   ","   ",IF((J14+L15)&gt;30000,0,IF(H35=N38,0,0.5)))</f>
        <v>   </v>
      </c>
      <c r="I83" s="902" t="str">
        <f>IF(H48="   ","   ",IF((J14+L15)&gt;30000,0,IF(H35=N38,0,0.8)))</f>
        <v>   </v>
      </c>
      <c r="J83" s="903"/>
      <c r="K83" s="169" t="str">
        <f>IF(H48="   ","   ",IF((J14+L15)&gt;30000,0,IF(H35=N38,0,1.1)))</f>
        <v>   </v>
      </c>
      <c r="L83" s="599"/>
      <c r="M83" s="104"/>
      <c r="N83" s="33"/>
      <c r="Q83" s="8"/>
      <c r="R83" s="9"/>
      <c r="S83" s="8"/>
      <c r="T83" s="8"/>
      <c r="U83" s="8"/>
      <c r="V83" s="8"/>
      <c r="W83" s="8"/>
      <c r="X83" s="8"/>
      <c r="Y83" s="8"/>
      <c r="Z83" s="8"/>
      <c r="AA83" s="9"/>
      <c r="AB83" s="9"/>
      <c r="AC83" s="9"/>
      <c r="AD83" s="9"/>
      <c r="AE83" s="9"/>
      <c r="AF83" s="9"/>
      <c r="AG83" s="9"/>
      <c r="AH83" s="9"/>
      <c r="AI83" s="9"/>
      <c r="AJ83" s="9"/>
      <c r="AK83" s="9"/>
      <c r="AL83" s="9"/>
      <c r="AM83" s="9"/>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row>
    <row r="84" spans="1:66" s="7" customFormat="1" ht="12.75" customHeight="1">
      <c r="A84" s="36">
        <v>83</v>
      </c>
      <c r="B84" s="922" t="s">
        <v>348</v>
      </c>
      <c r="C84" s="656"/>
      <c r="D84" s="696"/>
      <c r="E84" s="204" t="s">
        <v>115</v>
      </c>
      <c r="F84" s="648" t="s">
        <v>349</v>
      </c>
      <c r="G84" s="660"/>
      <c r="H84" s="206" t="str">
        <f>IF(H48="   ","   ",IF(AND((J14+L15)&lt;=8000,NOT(H35=N38)),1.2*H83*(J14+L15)*0.001*J17*0.001,IF(AND((J14+L15)&gt;8000,NOT(H35=N38)),1.2*H83*8000*0.001*J17*0.001,0)))</f>
        <v>   </v>
      </c>
      <c r="I84" s="802" t="str">
        <f>IF(H48="   ","   ",IF(AND((J14+L15)&gt;8000,(J14+L15)&gt;20000,NOT(H35=N38)),1.2*I83*12000*0.001*J17*0.001,IF(AND((J14+L15)&gt;8000,(J14+L15)&lt;=20000,NOT(H35=N38)),1.2*I83*(J14+L15-8000)*0.001*J17*0.001,0)))</f>
        <v>   </v>
      </c>
      <c r="J84" s="802"/>
      <c r="K84" s="207" t="str">
        <f>IF(H48="   ","   ",IF(AND((J14+L15)&gt;20000,NOT(H35=N38)),1.2*K83*(J14+L15-20000)*0.001*J17*0.001,0))</f>
        <v>   </v>
      </c>
      <c r="L84" s="600"/>
      <c r="M84" s="104"/>
      <c r="N84" s="33"/>
      <c r="Q84" s="8"/>
      <c r="R84" s="9"/>
      <c r="S84" s="8"/>
      <c r="T84" s="8"/>
      <c r="U84" s="8"/>
      <c r="V84" s="8"/>
      <c r="W84" s="8"/>
      <c r="X84" s="8"/>
      <c r="Y84" s="8"/>
      <c r="Z84" s="8"/>
      <c r="AA84" s="9"/>
      <c r="AB84" s="9"/>
      <c r="AC84" s="9"/>
      <c r="AD84" s="9"/>
      <c r="AE84" s="9"/>
      <c r="AF84" s="9"/>
      <c r="AG84" s="9"/>
      <c r="AH84" s="9"/>
      <c r="AI84" s="9"/>
      <c r="AJ84" s="9"/>
      <c r="AK84" s="9"/>
      <c r="AL84" s="9"/>
      <c r="AM84" s="9"/>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row>
    <row r="85" spans="1:66" s="7" customFormat="1" ht="12.75" customHeight="1">
      <c r="A85" s="36">
        <v>84</v>
      </c>
      <c r="B85" s="922" t="s">
        <v>128</v>
      </c>
      <c r="C85" s="656"/>
      <c r="D85" s="696"/>
      <c r="E85" s="204" t="s">
        <v>129</v>
      </c>
      <c r="F85" s="651" t="s">
        <v>350</v>
      </c>
      <c r="G85" s="715"/>
      <c r="H85" s="208" t="str">
        <f>IF(H48="   ","   ",IF(H83=0,0,IF((J14+L15)&lt;=8000,0.001*(J14+L15)*0.5,4)))</f>
        <v>   </v>
      </c>
      <c r="I85" s="751" t="str">
        <f>IF(H48="   ","   ",IF(I83=0,0,IF(AND((J14+L15)&gt;8000,(J14+L15)&gt;20000),0.001*(8000+6000),IF(AND((J14+L15)&gt;8000,(J14+L15)&lt;=20000),0.001*(8000+(J14+L15-8000)*0.5),0))))</f>
        <v>   </v>
      </c>
      <c r="J85" s="751"/>
      <c r="K85" s="209" t="str">
        <f>IF(H48="   ","   ",IF(K83=0,0,IF((J14+L15)&lt;=20000,0,0.001*(20000+(J14+L15-20000)*0.5))))</f>
        <v>   </v>
      </c>
      <c r="L85" s="600"/>
      <c r="M85" s="104"/>
      <c r="N85" s="33"/>
      <c r="Q85" s="8"/>
      <c r="R85" s="9"/>
      <c r="S85" s="8"/>
      <c r="T85" s="8"/>
      <c r="U85" s="8"/>
      <c r="V85" s="8"/>
      <c r="W85" s="8"/>
      <c r="X85" s="8"/>
      <c r="Y85" s="8"/>
      <c r="Z85" s="8"/>
      <c r="AA85" s="9"/>
      <c r="AB85" s="9"/>
      <c r="AC85" s="9"/>
      <c r="AD85" s="9"/>
      <c r="AE85" s="9"/>
      <c r="AF85" s="9"/>
      <c r="AG85" s="9"/>
      <c r="AH85" s="9"/>
      <c r="AI85" s="9"/>
      <c r="AJ85" s="9"/>
      <c r="AK85" s="9"/>
      <c r="AL85" s="9"/>
      <c r="AM85" s="9"/>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row>
    <row r="86" spans="1:66" s="7" customFormat="1" ht="12.75" customHeight="1">
      <c r="A86" s="36">
        <v>85</v>
      </c>
      <c r="B86" s="656" t="s">
        <v>120</v>
      </c>
      <c r="C86" s="656"/>
      <c r="D86" s="656"/>
      <c r="E86" s="202" t="s">
        <v>130</v>
      </c>
      <c r="F86" s="961" t="s">
        <v>351</v>
      </c>
      <c r="G86" s="660"/>
      <c r="H86" s="210" t="str">
        <f>IF(H48="   ","   ",H84*H85*1000)</f>
        <v>   </v>
      </c>
      <c r="I86" s="1006" t="str">
        <f>IF(H48="   ","   ",I84*I85*1000)</f>
        <v>   </v>
      </c>
      <c r="J86" s="1007"/>
      <c r="K86" s="211" t="str">
        <f>IF(H48="   ","   ",K84*K85*1000)</f>
        <v>   </v>
      </c>
      <c r="L86" s="599"/>
      <c r="M86" s="104"/>
      <c r="N86" s="33"/>
      <c r="Q86" s="8"/>
      <c r="R86" s="9"/>
      <c r="S86" s="8"/>
      <c r="T86" s="8"/>
      <c r="U86" s="8"/>
      <c r="V86" s="8"/>
      <c r="W86" s="8"/>
      <c r="X86" s="8"/>
      <c r="Y86" s="8"/>
      <c r="Z86" s="8"/>
      <c r="AA86" s="9"/>
      <c r="AB86" s="9"/>
      <c r="AC86" s="9"/>
      <c r="AD86" s="9"/>
      <c r="AE86" s="9"/>
      <c r="AF86" s="9"/>
      <c r="AG86" s="9"/>
      <c r="AH86" s="9"/>
      <c r="AI86" s="9"/>
      <c r="AJ86" s="9"/>
      <c r="AK86" s="9"/>
      <c r="AL86" s="9"/>
      <c r="AM86" s="9"/>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row>
    <row r="87" spans="1:66" s="7" customFormat="1" ht="12.75" customHeight="1">
      <c r="A87" s="36">
        <v>86</v>
      </c>
      <c r="B87" s="656" t="s">
        <v>253</v>
      </c>
      <c r="C87" s="656"/>
      <c r="D87" s="696"/>
      <c r="E87" s="202" t="s">
        <v>127</v>
      </c>
      <c r="F87" s="651" t="s">
        <v>352</v>
      </c>
      <c r="G87" s="715"/>
      <c r="H87" s="714" t="str">
        <f>IF(H48="   ","   ",H86+I86+K86)</f>
        <v>   </v>
      </c>
      <c r="I87" s="738"/>
      <c r="J87" s="738"/>
      <c r="K87" s="739"/>
      <c r="L87" s="585"/>
      <c r="M87" s="104"/>
      <c r="N87" s="33"/>
      <c r="Q87" s="8"/>
      <c r="R87" s="9"/>
      <c r="S87" s="8"/>
      <c r="T87" s="8"/>
      <c r="U87" s="8"/>
      <c r="V87" s="8"/>
      <c r="W87" s="8"/>
      <c r="X87" s="8"/>
      <c r="Y87" s="8"/>
      <c r="Z87" s="8"/>
      <c r="AA87" s="9"/>
      <c r="AB87" s="9"/>
      <c r="AC87" s="9"/>
      <c r="AD87" s="9"/>
      <c r="AE87" s="9"/>
      <c r="AF87" s="9"/>
      <c r="AG87" s="9"/>
      <c r="AH87" s="9"/>
      <c r="AI87" s="9"/>
      <c r="AJ87" s="9"/>
      <c r="AK87" s="9"/>
      <c r="AL87" s="9"/>
      <c r="AM87" s="9"/>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row>
    <row r="88" spans="1:66" s="7" customFormat="1" ht="12.75" customHeight="1">
      <c r="A88" s="36">
        <v>87</v>
      </c>
      <c r="B88" s="722" t="s">
        <v>354</v>
      </c>
      <c r="C88" s="722"/>
      <c r="D88" s="722"/>
      <c r="E88" s="205" t="s">
        <v>166</v>
      </c>
      <c r="F88" s="962" t="s">
        <v>353</v>
      </c>
      <c r="G88" s="783"/>
      <c r="H88" s="789" t="str">
        <f>IF(H48="   ","   ",(4*H87*1000)/(PI()*J17*J17*J19))</f>
        <v>   </v>
      </c>
      <c r="I88" s="790"/>
      <c r="J88" s="790"/>
      <c r="K88" s="791"/>
      <c r="L88" s="585"/>
      <c r="M88" s="104"/>
      <c r="N88" s="33"/>
      <c r="Q88" s="8"/>
      <c r="R88" s="9"/>
      <c r="S88" s="8"/>
      <c r="T88" s="8"/>
      <c r="U88" s="8"/>
      <c r="V88" s="8"/>
      <c r="W88" s="8"/>
      <c r="X88" s="8"/>
      <c r="Y88" s="8"/>
      <c r="Z88" s="8"/>
      <c r="AA88" s="9"/>
      <c r="AB88" s="9"/>
      <c r="AC88" s="9"/>
      <c r="AD88" s="9"/>
      <c r="AE88" s="9"/>
      <c r="AF88" s="9"/>
      <c r="AG88" s="9"/>
      <c r="AH88" s="9"/>
      <c r="AI88" s="9"/>
      <c r="AJ88" s="9"/>
      <c r="AK88" s="9"/>
      <c r="AL88" s="9"/>
      <c r="AM88" s="9"/>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row>
    <row r="89" spans="1:66" s="7" customFormat="1" ht="12.75" customHeight="1">
      <c r="A89" s="36">
        <v>88</v>
      </c>
      <c r="B89" s="656" t="s">
        <v>355</v>
      </c>
      <c r="C89" s="656"/>
      <c r="D89" s="656"/>
      <c r="E89" s="202" t="s">
        <v>166</v>
      </c>
      <c r="F89" s="661" t="s">
        <v>356</v>
      </c>
      <c r="G89" s="660"/>
      <c r="H89" s="736" t="str">
        <f>IF(H48="   ","   ",IF(H36=0,0,IF(J15&lt;30,1,IF(J15&gt;70,0,1-(J15-30)/40))))</f>
        <v>   </v>
      </c>
      <c r="I89" s="737"/>
      <c r="J89" s="740" t="str">
        <f>IF(H48="   ","   ",H89*H36*0.001)</f>
        <v>   </v>
      </c>
      <c r="K89" s="715"/>
      <c r="L89" s="143"/>
      <c r="M89" s="133"/>
      <c r="N89" s="33"/>
      <c r="Q89" s="8"/>
      <c r="R89" s="9"/>
      <c r="S89" s="8"/>
      <c r="T89" s="8"/>
      <c r="U89" s="8"/>
      <c r="V89" s="8"/>
      <c r="W89" s="8"/>
      <c r="X89" s="8"/>
      <c r="Y89" s="8"/>
      <c r="Z89" s="8"/>
      <c r="AA89" s="9"/>
      <c r="AB89" s="9"/>
      <c r="AC89" s="9"/>
      <c r="AD89" s="9"/>
      <c r="AE89" s="9"/>
      <c r="AF89" s="9"/>
      <c r="AG89" s="9"/>
      <c r="AH89" s="9"/>
      <c r="AI89" s="9"/>
      <c r="AJ89" s="9"/>
      <c r="AK89" s="9"/>
      <c r="AL89" s="9"/>
      <c r="AM89" s="9"/>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row>
    <row r="90" spans="1:66" s="7" customFormat="1" ht="12.75" customHeight="1">
      <c r="A90" s="36">
        <v>89</v>
      </c>
      <c r="B90" s="656" t="s">
        <v>121</v>
      </c>
      <c r="C90" s="656"/>
      <c r="D90" s="656"/>
      <c r="E90" s="202" t="s">
        <v>8</v>
      </c>
      <c r="F90" s="120"/>
      <c r="G90" s="373"/>
      <c r="H90" s="714" t="str">
        <f>IF(H48="   ","   ",J89*(J17+2*J19)*(J17+2*J19)*PI()/4)</f>
        <v>   </v>
      </c>
      <c r="I90" s="660"/>
      <c r="J90" s="660"/>
      <c r="K90" s="715"/>
      <c r="L90" s="601"/>
      <c r="M90" s="104"/>
      <c r="N90" s="33"/>
      <c r="Q90" s="8"/>
      <c r="R90" s="9"/>
      <c r="S90" s="8"/>
      <c r="T90" s="8"/>
      <c r="U90" s="8"/>
      <c r="V90" s="8"/>
      <c r="W90" s="8"/>
      <c r="X90" s="8"/>
      <c r="Y90" s="8"/>
      <c r="Z90" s="8"/>
      <c r="AA90" s="9"/>
      <c r="AB90" s="9"/>
      <c r="AC90" s="9"/>
      <c r="AD90" s="9"/>
      <c r="AE90" s="9"/>
      <c r="AF90" s="9"/>
      <c r="AG90" s="9"/>
      <c r="AH90" s="9"/>
      <c r="AI90" s="9"/>
      <c r="AJ90" s="9"/>
      <c r="AK90" s="9"/>
      <c r="AL90" s="9"/>
      <c r="AM90" s="9"/>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row>
    <row r="91" spans="1:66" s="7" customFormat="1" ht="12.75" customHeight="1">
      <c r="A91" s="36">
        <v>90</v>
      </c>
      <c r="B91" s="656" t="s">
        <v>122</v>
      </c>
      <c r="C91" s="656"/>
      <c r="D91" s="656"/>
      <c r="E91" s="202" t="s">
        <v>62</v>
      </c>
      <c r="F91" s="661" t="s">
        <v>357</v>
      </c>
      <c r="G91" s="660"/>
      <c r="H91" s="716" t="str">
        <f>IF(H48="   ","   ",MIN(0.46*(1+0.1*SQRT((1*(0.5*J17/J14)*SQRT(0.5*J17/J91)))),0.6))</f>
        <v>   </v>
      </c>
      <c r="I91" s="660"/>
      <c r="J91" s="893" t="str">
        <f>IF(H48="   ","   ",J19)</f>
        <v>   </v>
      </c>
      <c r="K91" s="894"/>
      <c r="L91" s="144"/>
      <c r="M91" s="104"/>
      <c r="N91" s="33"/>
      <c r="Q91" s="8"/>
      <c r="R91" s="9"/>
      <c r="S91" s="8"/>
      <c r="T91" s="8"/>
      <c r="U91" s="8"/>
      <c r="V91" s="8"/>
      <c r="W91" s="8"/>
      <c r="X91" s="8"/>
      <c r="Y91" s="8"/>
      <c r="Z91" s="8"/>
      <c r="AA91" s="9"/>
      <c r="AB91" s="9"/>
      <c r="AC91" s="9"/>
      <c r="AD91" s="9"/>
      <c r="AE91" s="9"/>
      <c r="AF91" s="9"/>
      <c r="AG91" s="9"/>
      <c r="AH91" s="9"/>
      <c r="AI91" s="9"/>
      <c r="AJ91" s="9"/>
      <c r="AK91" s="9"/>
      <c r="AL91" s="9"/>
      <c r="AM91" s="9"/>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row>
    <row r="92" spans="1:66" s="7" customFormat="1" ht="12.75" customHeight="1">
      <c r="A92" s="36">
        <v>91</v>
      </c>
      <c r="B92" s="656" t="s">
        <v>21</v>
      </c>
      <c r="C92" s="656"/>
      <c r="D92" s="656"/>
      <c r="E92" s="202" t="s">
        <v>166</v>
      </c>
      <c r="F92" s="717" t="s">
        <v>359</v>
      </c>
      <c r="G92" s="660"/>
      <c r="H92" s="716" t="str">
        <f>IF(H48="   ","   ",MAX(H83,I83,K83)*H91*0.001)</f>
        <v>   </v>
      </c>
      <c r="I92" s="660"/>
      <c r="J92" s="656"/>
      <c r="K92" s="874"/>
      <c r="L92" s="73"/>
      <c r="M92" s="104"/>
      <c r="N92" s="33"/>
      <c r="Q92" s="8"/>
      <c r="R92" s="9"/>
      <c r="S92" s="8"/>
      <c r="T92" s="8"/>
      <c r="U92" s="8"/>
      <c r="V92" s="8"/>
      <c r="W92" s="8"/>
      <c r="X92" s="8"/>
      <c r="Y92" s="8"/>
      <c r="Z92" s="8"/>
      <c r="AA92" s="9"/>
      <c r="AB92" s="9"/>
      <c r="AC92" s="9"/>
      <c r="AD92" s="9"/>
      <c r="AE92" s="9"/>
      <c r="AF92" s="9"/>
      <c r="AG92" s="9"/>
      <c r="AH92" s="9"/>
      <c r="AI92" s="9"/>
      <c r="AJ92" s="9"/>
      <c r="AK92" s="9"/>
      <c r="AL92" s="9"/>
      <c r="AM92" s="9"/>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row>
    <row r="93" spans="1:66" s="7" customFormat="1" ht="12.75" customHeight="1">
      <c r="A93" s="36">
        <v>92</v>
      </c>
      <c r="B93" s="722" t="s">
        <v>360</v>
      </c>
      <c r="C93" s="722"/>
      <c r="D93" s="723"/>
      <c r="E93" s="202" t="s">
        <v>166</v>
      </c>
      <c r="F93" s="877" t="s">
        <v>361</v>
      </c>
      <c r="G93" s="660"/>
      <c r="H93" s="792" t="str">
        <f>IF(H48="   ","   ",IF(J14&gt;0,MAX(0.48*0.001,0.6*MAX(H83,I83,K83)*0.001)))</f>
        <v>   </v>
      </c>
      <c r="I93" s="783"/>
      <c r="J93" s="722"/>
      <c r="K93" s="793"/>
      <c r="L93" s="83"/>
      <c r="M93" s="104"/>
      <c r="N93" s="33"/>
      <c r="Q93" s="8"/>
      <c r="R93" s="9"/>
      <c r="S93" s="8"/>
      <c r="T93" s="8"/>
      <c r="U93" s="8"/>
      <c r="V93" s="8"/>
      <c r="W93" s="8"/>
      <c r="X93" s="8"/>
      <c r="Y93" s="8"/>
      <c r="Z93" s="8"/>
      <c r="AA93" s="9"/>
      <c r="AB93" s="9"/>
      <c r="AC93" s="9"/>
      <c r="AD93" s="9"/>
      <c r="AE93" s="9"/>
      <c r="AF93" s="9"/>
      <c r="AG93" s="9"/>
      <c r="AH93" s="9"/>
      <c r="AI93" s="9"/>
      <c r="AJ93" s="9"/>
      <c r="AK93" s="9"/>
      <c r="AL93" s="9"/>
      <c r="AM93" s="9"/>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row>
    <row r="94" spans="1:66" s="7" customFormat="1" ht="15.75" customHeight="1">
      <c r="A94" s="36">
        <v>93</v>
      </c>
      <c r="B94" s="1012" t="s">
        <v>64</v>
      </c>
      <c r="C94" s="709"/>
      <c r="D94" s="709"/>
      <c r="E94" s="709"/>
      <c r="F94" s="709"/>
      <c r="G94" s="709"/>
      <c r="H94" s="393"/>
      <c r="I94" s="718"/>
      <c r="J94" s="719"/>
      <c r="K94" s="145"/>
      <c r="L94" s="98"/>
      <c r="M94" s="104"/>
      <c r="N94" s="33"/>
      <c r="Q94" s="8"/>
      <c r="R94" s="9"/>
      <c r="S94" s="8"/>
      <c r="T94" s="8"/>
      <c r="U94" s="8"/>
      <c r="V94" s="8"/>
      <c r="W94" s="8"/>
      <c r="X94" s="8"/>
      <c r="Y94" s="8"/>
      <c r="Z94" s="8"/>
      <c r="AA94" s="9"/>
      <c r="AB94" s="9"/>
      <c r="AC94" s="9"/>
      <c r="AD94" s="9"/>
      <c r="AE94" s="9"/>
      <c r="AF94" s="9"/>
      <c r="AG94" s="9"/>
      <c r="AH94" s="9"/>
      <c r="AI94" s="9"/>
      <c r="AJ94" s="9"/>
      <c r="AK94" s="9"/>
      <c r="AL94" s="9"/>
      <c r="AM94" s="9"/>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row>
    <row r="95" spans="1:66" s="7" customFormat="1" ht="12.75" customHeight="1">
      <c r="A95" s="36">
        <v>94</v>
      </c>
      <c r="B95" s="546" t="s">
        <v>362</v>
      </c>
      <c r="C95" s="61"/>
      <c r="D95" s="61"/>
      <c r="E95" s="70" t="s">
        <v>10</v>
      </c>
      <c r="F95" s="774" t="s">
        <v>363</v>
      </c>
      <c r="G95" s="808"/>
      <c r="H95" s="794" t="str">
        <f>IF(H48="   ","   ",($H$70*H76+$K$70*$H$29)*J17/(2*J19))</f>
        <v>   </v>
      </c>
      <c r="I95" s="742"/>
      <c r="J95" s="742"/>
      <c r="K95" s="687"/>
      <c r="L95" s="602"/>
      <c r="M95" s="395"/>
      <c r="N95" s="33"/>
      <c r="Q95" s="8"/>
      <c r="R95" s="9"/>
      <c r="S95" s="8"/>
      <c r="T95" s="8"/>
      <c r="U95" s="8"/>
      <c r="V95" s="8"/>
      <c r="W95" s="8"/>
      <c r="X95" s="8"/>
      <c r="Y95" s="8"/>
      <c r="Z95" s="8"/>
      <c r="AA95" s="9"/>
      <c r="AB95" s="9"/>
      <c r="AC95" s="9"/>
      <c r="AD95" s="9"/>
      <c r="AE95" s="9"/>
      <c r="AF95" s="9"/>
      <c r="AG95" s="9"/>
      <c r="AH95" s="9"/>
      <c r="AI95" s="9"/>
      <c r="AJ95" s="9"/>
      <c r="AK95" s="9"/>
      <c r="AL95" s="9"/>
      <c r="AM95" s="9"/>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row>
    <row r="96" spans="1:66" s="7" customFormat="1" ht="12.75" customHeight="1">
      <c r="A96" s="36">
        <v>95</v>
      </c>
      <c r="B96" s="656" t="s">
        <v>36</v>
      </c>
      <c r="C96" s="656"/>
      <c r="D96" s="696"/>
      <c r="E96" s="71" t="s">
        <v>10</v>
      </c>
      <c r="F96" s="648" t="s">
        <v>364</v>
      </c>
      <c r="G96" s="660"/>
      <c r="H96" s="795" t="str">
        <f>IF($H$48="   ","   ",H95*$H$40*$H$41*$H$69/$H$44)</f>
        <v>   </v>
      </c>
      <c r="I96" s="773"/>
      <c r="J96" s="773"/>
      <c r="K96" s="796"/>
      <c r="L96" s="585"/>
      <c r="M96" s="395"/>
      <c r="N96" s="33"/>
      <c r="Q96" s="8"/>
      <c r="R96" s="9"/>
      <c r="S96" s="8"/>
      <c r="T96" s="8"/>
      <c r="U96" s="8"/>
      <c r="V96" s="8"/>
      <c r="W96" s="8"/>
      <c r="X96" s="8"/>
      <c r="Y96" s="8"/>
      <c r="Z96" s="8"/>
      <c r="AA96" s="9"/>
      <c r="AB96" s="9"/>
      <c r="AC96" s="9"/>
      <c r="AD96" s="9"/>
      <c r="AE96" s="9"/>
      <c r="AF96" s="9"/>
      <c r="AG96" s="9"/>
      <c r="AH96" s="9"/>
      <c r="AI96" s="9"/>
      <c r="AJ96" s="9"/>
      <c r="AK96" s="9"/>
      <c r="AL96" s="9"/>
      <c r="AM96" s="9"/>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row>
    <row r="97" spans="1:66" s="7" customFormat="1" ht="12.75" customHeight="1">
      <c r="A97" s="36">
        <v>96</v>
      </c>
      <c r="B97" s="800" t="s">
        <v>17</v>
      </c>
      <c r="C97" s="800"/>
      <c r="D97" s="801"/>
      <c r="E97" s="86" t="s">
        <v>55</v>
      </c>
      <c r="F97" s="648" t="s">
        <v>365</v>
      </c>
      <c r="G97" s="660"/>
      <c r="H97" s="997" t="str">
        <f>IF($H$48="   ","   ",H96/$H$57)</f>
        <v>   </v>
      </c>
      <c r="I97" s="998"/>
      <c r="J97" s="998"/>
      <c r="K97" s="999"/>
      <c r="L97" s="585"/>
      <c r="M97" s="104"/>
      <c r="N97" s="33"/>
      <c r="Q97" s="8"/>
      <c r="R97" s="9"/>
      <c r="S97" s="8"/>
      <c r="T97" s="8"/>
      <c r="U97" s="8"/>
      <c r="V97" s="8"/>
      <c r="W97" s="8"/>
      <c r="X97" s="8"/>
      <c r="Y97" s="8"/>
      <c r="Z97" s="8"/>
      <c r="AA97" s="9"/>
      <c r="AB97" s="9"/>
      <c r="AC97" s="9"/>
      <c r="AD97" s="9"/>
      <c r="AE97" s="9"/>
      <c r="AF97" s="9"/>
      <c r="AG97" s="9"/>
      <c r="AH97" s="9"/>
      <c r="AI97" s="9"/>
      <c r="AJ97" s="9"/>
      <c r="AK97" s="9"/>
      <c r="AL97" s="9"/>
      <c r="AM97" s="9"/>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row>
    <row r="98" spans="1:66" s="7" customFormat="1" ht="12.75" customHeight="1">
      <c r="A98" s="36">
        <v>97</v>
      </c>
      <c r="B98" s="38" t="s">
        <v>362</v>
      </c>
      <c r="C98" s="21"/>
      <c r="D98" s="21"/>
      <c r="E98" s="71" t="s">
        <v>10</v>
      </c>
      <c r="F98" s="774" t="s">
        <v>366</v>
      </c>
      <c r="G98" s="808"/>
      <c r="H98" s="1000" t="str">
        <f>IF(H48="   ","   ",($H$70*H76+$K$70*$H$31)*J17/(2*J19))</f>
        <v>   </v>
      </c>
      <c r="I98" s="1001"/>
      <c r="J98" s="1001"/>
      <c r="K98" s="1002"/>
      <c r="L98" s="585"/>
      <c r="M98" s="397"/>
      <c r="N98" s="33"/>
      <c r="Q98" s="8"/>
      <c r="R98" s="9"/>
      <c r="S98" s="8"/>
      <c r="T98" s="8"/>
      <c r="U98" s="8"/>
      <c r="V98" s="8"/>
      <c r="W98" s="8"/>
      <c r="X98" s="8"/>
      <c r="Y98" s="8"/>
      <c r="Z98" s="8"/>
      <c r="AA98" s="9"/>
      <c r="AB98" s="9"/>
      <c r="AC98" s="9"/>
      <c r="AD98" s="9"/>
      <c r="AE98" s="9"/>
      <c r="AF98" s="9"/>
      <c r="AG98" s="9"/>
      <c r="AH98" s="9"/>
      <c r="AI98" s="9"/>
      <c r="AJ98" s="9"/>
      <c r="AK98" s="9"/>
      <c r="AL98" s="9"/>
      <c r="AM98" s="9"/>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row>
    <row r="99" spans="1:66" s="7" customFormat="1" ht="12.75" customHeight="1">
      <c r="A99" s="36">
        <v>98</v>
      </c>
      <c r="B99" s="656" t="s">
        <v>61</v>
      </c>
      <c r="C99" s="656"/>
      <c r="D99" s="696"/>
      <c r="E99" s="71" t="s">
        <v>10</v>
      </c>
      <c r="F99" s="648" t="s">
        <v>367</v>
      </c>
      <c r="G99" s="660"/>
      <c r="H99" s="1003" t="str">
        <f>IF($H$49="   ","   ",H98*H40*$H$41*$H$69/$H$45)</f>
        <v>   </v>
      </c>
      <c r="I99" s="660"/>
      <c r="J99" s="660"/>
      <c r="K99" s="715"/>
      <c r="L99" s="170"/>
      <c r="N99" s="33"/>
      <c r="Q99" s="8"/>
      <c r="R99" s="9"/>
      <c r="S99" s="8"/>
      <c r="T99" s="8"/>
      <c r="U99" s="8"/>
      <c r="V99" s="8"/>
      <c r="W99" s="8"/>
      <c r="X99" s="8"/>
      <c r="Y99" s="8"/>
      <c r="Z99" s="8"/>
      <c r="AA99" s="9"/>
      <c r="AB99" s="9"/>
      <c r="AC99" s="9"/>
      <c r="AD99" s="9"/>
      <c r="AE99" s="9"/>
      <c r="AF99" s="9"/>
      <c r="AG99" s="9"/>
      <c r="AH99" s="9"/>
      <c r="AI99" s="9"/>
      <c r="AJ99" s="9"/>
      <c r="AK99" s="9"/>
      <c r="AL99" s="9"/>
      <c r="AM99" s="9"/>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row>
    <row r="100" spans="1:66" s="7" customFormat="1" ht="12.75" customHeight="1">
      <c r="A100" s="36">
        <v>99</v>
      </c>
      <c r="B100" s="656" t="s">
        <v>17</v>
      </c>
      <c r="C100" s="656"/>
      <c r="D100" s="696"/>
      <c r="E100" s="87" t="s">
        <v>55</v>
      </c>
      <c r="F100" s="648" t="s">
        <v>368</v>
      </c>
      <c r="G100" s="660"/>
      <c r="H100" s="1004" t="str">
        <f>IF($H$49="   ","   ",H99/H65)</f>
        <v>   </v>
      </c>
      <c r="I100" s="1005"/>
      <c r="J100" s="1005"/>
      <c r="K100" s="851"/>
      <c r="L100" s="585"/>
      <c r="M100" s="104"/>
      <c r="N100" s="33"/>
      <c r="Q100" s="8"/>
      <c r="R100" s="9"/>
      <c r="S100" s="8"/>
      <c r="T100" s="8"/>
      <c r="U100" s="8"/>
      <c r="V100" s="8"/>
      <c r="W100" s="8"/>
      <c r="X100" s="8"/>
      <c r="Y100" s="8"/>
      <c r="Z100" s="8"/>
      <c r="AA100" s="9"/>
      <c r="AB100" s="9"/>
      <c r="AC100" s="9"/>
      <c r="AD100" s="9"/>
      <c r="AE100" s="9"/>
      <c r="AF100" s="9"/>
      <c r="AG100" s="9"/>
      <c r="AH100" s="9"/>
      <c r="AI100" s="9"/>
      <c r="AJ100" s="9"/>
      <c r="AK100" s="9"/>
      <c r="AL100" s="9"/>
      <c r="AM100" s="9"/>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row>
    <row r="101" spans="1:66" s="7" customFormat="1" ht="12.75" customHeight="1">
      <c r="A101" s="82">
        <v>100</v>
      </c>
      <c r="B101" s="161"/>
      <c r="C101" s="377"/>
      <c r="D101" s="377"/>
      <c r="E101" s="136"/>
      <c r="F101" s="964" t="s">
        <v>170</v>
      </c>
      <c r="G101" s="965"/>
      <c r="H101" s="784" t="str">
        <f>IF(H48="   ","   ",IF(AND(H97&gt;0,H97&lt;=1,I97&gt;=0,I97&lt;=1,K97&gt;=0,K97&lt;=1,H100&gt;=0,H100&lt;=1,I100&gt;=0,I100&lt;=1,K100&gt;=0,K100&lt;=1),N3,N4))</f>
        <v>   </v>
      </c>
      <c r="I101" s="785"/>
      <c r="J101" s="785"/>
      <c r="K101" s="785"/>
      <c r="L101" s="248" t="s">
        <v>194</v>
      </c>
      <c r="M101" s="104"/>
      <c r="N101" s="33"/>
      <c r="Q101" s="8"/>
      <c r="R101" s="9"/>
      <c r="S101" s="8"/>
      <c r="T101" s="8"/>
      <c r="U101" s="8"/>
      <c r="V101" s="8"/>
      <c r="W101" s="8"/>
      <c r="X101" s="8"/>
      <c r="Y101" s="8"/>
      <c r="Z101" s="8"/>
      <c r="AA101" s="9"/>
      <c r="AB101" s="9"/>
      <c r="AC101" s="9"/>
      <c r="AD101" s="9"/>
      <c r="AE101" s="9"/>
      <c r="AF101" s="9"/>
      <c r="AG101" s="9"/>
      <c r="AH101" s="9"/>
      <c r="AI101" s="9"/>
      <c r="AJ101" s="9"/>
      <c r="AK101" s="9"/>
      <c r="AL101" s="9"/>
      <c r="AM101" s="9"/>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row>
    <row r="102" spans="1:66" s="7" customFormat="1" ht="18" customHeight="1">
      <c r="A102" s="35">
        <v>101</v>
      </c>
      <c r="B102" s="78" t="s">
        <v>5</v>
      </c>
      <c r="C102" s="78"/>
      <c r="D102" s="79"/>
      <c r="E102" s="80" t="s">
        <v>2</v>
      </c>
      <c r="F102" s="933" t="s">
        <v>41</v>
      </c>
      <c r="G102" s="934"/>
      <c r="H102" s="1008" t="s">
        <v>40</v>
      </c>
      <c r="I102" s="1009"/>
      <c r="J102" s="1009"/>
      <c r="K102" s="934"/>
      <c r="L102" s="119" t="s">
        <v>34</v>
      </c>
      <c r="M102" s="104"/>
      <c r="N102" s="33"/>
      <c r="Q102" s="8"/>
      <c r="R102" s="9"/>
      <c r="S102" s="8"/>
      <c r="T102" s="8"/>
      <c r="U102" s="8"/>
      <c r="V102" s="8"/>
      <c r="W102" s="8"/>
      <c r="X102" s="8"/>
      <c r="Y102" s="8"/>
      <c r="Z102" s="8"/>
      <c r="AA102" s="9"/>
      <c r="AB102" s="9"/>
      <c r="AC102" s="9"/>
      <c r="AD102" s="9"/>
      <c r="AE102" s="9"/>
      <c r="AF102" s="9"/>
      <c r="AG102" s="9"/>
      <c r="AH102" s="9"/>
      <c r="AI102" s="9"/>
      <c r="AJ102" s="9"/>
      <c r="AK102" s="9"/>
      <c r="AL102" s="9"/>
      <c r="AM102" s="9"/>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row>
    <row r="103" spans="1:66" s="7" customFormat="1" ht="15.75" customHeight="1">
      <c r="A103" s="36">
        <v>102</v>
      </c>
      <c r="B103" s="1010" t="s">
        <v>369</v>
      </c>
      <c r="C103" s="1011"/>
      <c r="D103" s="1011"/>
      <c r="E103" s="1011"/>
      <c r="F103" s="1011"/>
      <c r="G103" s="1011"/>
      <c r="H103" s="1011"/>
      <c r="I103" s="1011"/>
      <c r="J103" s="75"/>
      <c r="K103" s="76"/>
      <c r="L103" s="103"/>
      <c r="M103" s="104"/>
      <c r="N103" s="33"/>
      <c r="Q103" s="8"/>
      <c r="R103" s="9"/>
      <c r="S103" s="8"/>
      <c r="T103" s="8"/>
      <c r="U103" s="8"/>
      <c r="V103" s="8"/>
      <c r="W103" s="8"/>
      <c r="X103" s="8"/>
      <c r="Y103" s="8"/>
      <c r="Z103" s="8"/>
      <c r="AA103" s="9"/>
      <c r="AB103" s="9"/>
      <c r="AC103" s="9"/>
      <c r="AD103" s="9"/>
      <c r="AE103" s="9"/>
      <c r="AF103" s="9"/>
      <c r="AG103" s="9"/>
      <c r="AH103" s="9"/>
      <c r="AI103" s="9"/>
      <c r="AJ103" s="9"/>
      <c r="AK103" s="9"/>
      <c r="AL103" s="9"/>
      <c r="AM103" s="9"/>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row>
    <row r="104" spans="1:66" s="7" customFormat="1" ht="12.75" customHeight="1">
      <c r="A104" s="36">
        <v>103</v>
      </c>
      <c r="B104" s="641" t="s">
        <v>36</v>
      </c>
      <c r="C104" s="641"/>
      <c r="D104" s="637"/>
      <c r="E104" s="547" t="s">
        <v>10</v>
      </c>
      <c r="F104" s="828" t="s">
        <v>370</v>
      </c>
      <c r="G104" s="788"/>
      <c r="H104" s="786" t="str">
        <f>IF($H$49="   ","   ",((H46*($H$70*$H$76+$K$70*$H$29)*0.5*J17+$K$70*$H$29*0.25*J17-($H$71*($H$78+K80)/(PI()*J17)))*(H40*$H$41*$H$69/J19)))</f>
        <v>   </v>
      </c>
      <c r="I104" s="787"/>
      <c r="J104" s="787"/>
      <c r="K104" s="788"/>
      <c r="L104" s="81"/>
      <c r="M104" s="104"/>
      <c r="N104" s="33"/>
      <c r="Q104" s="8"/>
      <c r="R104" s="9"/>
      <c r="S104" s="8"/>
      <c r="T104" s="8"/>
      <c r="U104" s="8"/>
      <c r="V104" s="8"/>
      <c r="W104" s="8"/>
      <c r="X104" s="8"/>
      <c r="Y104" s="8"/>
      <c r="Z104" s="8"/>
      <c r="AA104" s="9"/>
      <c r="AB104" s="9"/>
      <c r="AC104" s="9"/>
      <c r="AD104" s="9"/>
      <c r="AE104" s="9"/>
      <c r="AF104" s="9"/>
      <c r="AG104" s="9"/>
      <c r="AH104" s="9"/>
      <c r="AI104" s="9"/>
      <c r="AJ104" s="9"/>
      <c r="AK104" s="9"/>
      <c r="AL104" s="9"/>
      <c r="AM104" s="9"/>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row>
    <row r="105" spans="1:66" s="7" customFormat="1" ht="12.75" customHeight="1">
      <c r="A105" s="36">
        <v>104</v>
      </c>
      <c r="B105" s="656" t="s">
        <v>17</v>
      </c>
      <c r="C105" s="656"/>
      <c r="D105" s="696"/>
      <c r="E105" s="87" t="s">
        <v>55</v>
      </c>
      <c r="F105" s="648" t="s">
        <v>365</v>
      </c>
      <c r="G105" s="649"/>
      <c r="H105" s="803" t="str">
        <f>IF($H$49="   ","   ",H104/H57)</f>
        <v>   </v>
      </c>
      <c r="I105" s="660"/>
      <c r="J105" s="660"/>
      <c r="K105" s="649"/>
      <c r="L105" s="73"/>
      <c r="M105" s="104"/>
      <c r="N105" s="33"/>
      <c r="Q105" s="8"/>
      <c r="R105" s="9"/>
      <c r="S105" s="8"/>
      <c r="T105" s="8"/>
      <c r="U105" s="8"/>
      <c r="V105" s="8"/>
      <c r="W105" s="8"/>
      <c r="X105" s="8"/>
      <c r="Y105" s="8"/>
      <c r="Z105" s="8"/>
      <c r="AA105" s="9"/>
      <c r="AB105" s="9"/>
      <c r="AC105" s="9"/>
      <c r="AD105" s="9"/>
      <c r="AE105" s="9"/>
      <c r="AF105" s="9"/>
      <c r="AG105" s="9"/>
      <c r="AH105" s="9"/>
      <c r="AI105" s="9"/>
      <c r="AJ105" s="9"/>
      <c r="AK105" s="9"/>
      <c r="AL105" s="9"/>
      <c r="AM105" s="9"/>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row>
    <row r="106" spans="1:66" s="7" customFormat="1" ht="12.75" customHeight="1">
      <c r="A106" s="36">
        <v>105</v>
      </c>
      <c r="B106" s="537" t="s">
        <v>254</v>
      </c>
      <c r="C106" s="21"/>
      <c r="D106" s="21"/>
      <c r="E106" s="71" t="s">
        <v>10</v>
      </c>
      <c r="F106" s="648" t="s">
        <v>371</v>
      </c>
      <c r="G106" s="649"/>
      <c r="H106" s="695" t="str">
        <f>IF($H$49="   ","   ",(H46*($H$70*$H$76+$K$70*H31)*0.5*J17+$K$70*H31*0.25*J17+(K70*4*H87*1000/(PI()*J17*J17))-(H71*(H78+K80)/(PI()*J17)))*($H$41*H40*$H$69/J19))</f>
        <v>   </v>
      </c>
      <c r="I106" s="647"/>
      <c r="J106" s="647"/>
      <c r="K106" s="724"/>
      <c r="L106" s="170"/>
      <c r="N106" s="33"/>
      <c r="Q106" s="8"/>
      <c r="R106" s="9"/>
      <c r="S106" s="8"/>
      <c r="T106" s="8"/>
      <c r="U106" s="8"/>
      <c r="V106" s="8"/>
      <c r="W106" s="8"/>
      <c r="X106" s="8"/>
      <c r="Y106" s="8"/>
      <c r="Z106" s="8"/>
      <c r="AA106" s="9"/>
      <c r="AB106" s="9"/>
      <c r="AC106" s="9"/>
      <c r="AD106" s="9"/>
      <c r="AE106" s="9"/>
      <c r="AF106" s="9"/>
      <c r="AG106" s="9"/>
      <c r="AH106" s="9"/>
      <c r="AI106" s="9"/>
      <c r="AJ106" s="9"/>
      <c r="AK106" s="9"/>
      <c r="AL106" s="9"/>
      <c r="AM106" s="9"/>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row>
    <row r="107" spans="1:66" s="7" customFormat="1" ht="12.75" customHeight="1">
      <c r="A107" s="36">
        <v>106</v>
      </c>
      <c r="B107" s="722" t="s">
        <v>17</v>
      </c>
      <c r="C107" s="722"/>
      <c r="D107" s="723"/>
      <c r="E107" s="88" t="s">
        <v>55</v>
      </c>
      <c r="F107" s="652" t="s">
        <v>372</v>
      </c>
      <c r="G107" s="759"/>
      <c r="H107" s="782" t="str">
        <f>IF($H$49="   ","   ",IF(OR(H66="entfällt",H66&gt;0),H106/H62))</f>
        <v>   </v>
      </c>
      <c r="I107" s="783"/>
      <c r="J107" s="783"/>
      <c r="K107" s="759"/>
      <c r="L107" s="83"/>
      <c r="M107" s="104"/>
      <c r="N107" s="33"/>
      <c r="Q107" s="8"/>
      <c r="R107" s="9"/>
      <c r="S107" s="8"/>
      <c r="T107" s="8"/>
      <c r="U107" s="8"/>
      <c r="V107" s="8"/>
      <c r="W107" s="8"/>
      <c r="X107" s="8"/>
      <c r="Y107" s="8"/>
      <c r="Z107" s="8"/>
      <c r="AA107" s="9"/>
      <c r="AB107" s="9"/>
      <c r="AC107" s="9"/>
      <c r="AD107" s="9"/>
      <c r="AE107" s="9"/>
      <c r="AF107" s="9"/>
      <c r="AG107" s="9"/>
      <c r="AH107" s="9"/>
      <c r="AI107" s="9"/>
      <c r="AJ107" s="9"/>
      <c r="AK107" s="9"/>
      <c r="AL107" s="9"/>
      <c r="AM107" s="9"/>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row>
    <row r="108" spans="1:66" s="7" customFormat="1" ht="12" customHeight="1">
      <c r="A108" s="36">
        <v>107</v>
      </c>
      <c r="B108" s="162"/>
      <c r="C108" s="61"/>
      <c r="D108" s="61"/>
      <c r="E108" s="61"/>
      <c r="F108" s="704" t="s">
        <v>170</v>
      </c>
      <c r="G108" s="705"/>
      <c r="H108" s="780" t="str">
        <f>IF($H$49="   ","   ",IF(AND(H105&gt;0,H105&lt;=1,H107&gt;0,H107&lt;=1),N3,N4))</f>
        <v>   </v>
      </c>
      <c r="I108" s="781"/>
      <c r="J108" s="781"/>
      <c r="K108" s="781"/>
      <c r="L108" s="85"/>
      <c r="M108" s="104"/>
      <c r="N108" s="33"/>
      <c r="Q108" s="8"/>
      <c r="R108" s="9"/>
      <c r="S108" s="8"/>
      <c r="T108" s="8"/>
      <c r="U108" s="8"/>
      <c r="V108" s="8"/>
      <c r="W108" s="8"/>
      <c r="X108" s="8"/>
      <c r="Y108" s="8"/>
      <c r="Z108" s="8"/>
      <c r="AA108" s="9"/>
      <c r="AB108" s="9"/>
      <c r="AC108" s="9"/>
      <c r="AD108" s="9"/>
      <c r="AE108" s="9"/>
      <c r="AF108" s="9"/>
      <c r="AG108" s="9"/>
      <c r="AH108" s="9"/>
      <c r="AI108" s="9"/>
      <c r="AJ108" s="9"/>
      <c r="AK108" s="9"/>
      <c r="AL108" s="9"/>
      <c r="AM108" s="9"/>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row>
    <row r="109" spans="1:66" s="7" customFormat="1" ht="15.75" customHeight="1">
      <c r="A109" s="36">
        <v>108</v>
      </c>
      <c r="B109" s="760" t="s">
        <v>255</v>
      </c>
      <c r="C109" s="761"/>
      <c r="D109" s="761"/>
      <c r="E109" s="761"/>
      <c r="F109" s="761"/>
      <c r="G109" s="761"/>
      <c r="H109" s="761"/>
      <c r="I109" s="761"/>
      <c r="J109" s="761"/>
      <c r="K109" s="761"/>
      <c r="L109" s="762"/>
      <c r="M109" s="104"/>
      <c r="N109" s="33"/>
      <c r="Q109" s="8"/>
      <c r="R109" s="9"/>
      <c r="S109" s="8"/>
      <c r="T109" s="8"/>
      <c r="U109" s="8"/>
      <c r="V109" s="8"/>
      <c r="W109" s="8"/>
      <c r="X109" s="8"/>
      <c r="Y109" s="8"/>
      <c r="Z109" s="8"/>
      <c r="AA109" s="9"/>
      <c r="AB109" s="9"/>
      <c r="AC109" s="9"/>
      <c r="AD109" s="9"/>
      <c r="AE109" s="9"/>
      <c r="AF109" s="9"/>
      <c r="AG109" s="9"/>
      <c r="AH109" s="9"/>
      <c r="AI109" s="9"/>
      <c r="AJ109" s="9"/>
      <c r="AK109" s="9"/>
      <c r="AL109" s="9"/>
      <c r="AM109" s="9"/>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row>
    <row r="110" spans="1:66" s="7" customFormat="1" ht="12.75" customHeight="1">
      <c r="A110" s="36">
        <v>109</v>
      </c>
      <c r="B110" s="699" t="s">
        <v>373</v>
      </c>
      <c r="C110" s="699"/>
      <c r="D110" s="706"/>
      <c r="E110" s="630" t="s">
        <v>0</v>
      </c>
      <c r="F110" s="636" t="s">
        <v>374</v>
      </c>
      <c r="G110" s="632"/>
      <c r="H110" s="549" t="str">
        <f>IF($H$49="   ","   ",(H46*(($H$70*H76+$K$70*$H$29)*0.5*J17+K70*H29*0.25*J17-(H71*(H78+K80)/(PI()*J17))))*(H40*H41*H69/H57))</f>
        <v>   </v>
      </c>
      <c r="I110" s="541" t="str">
        <f>IF(H48="   ","   ",IF(H110&lt;K110,"&lt;","&gt;"))</f>
        <v>   </v>
      </c>
      <c r="J110" s="399" t="s">
        <v>240</v>
      </c>
      <c r="K110" s="550" t="str">
        <f>IF(H48="   ","   ",J19)</f>
        <v>   </v>
      </c>
      <c r="L110" s="85"/>
      <c r="M110" s="104"/>
      <c r="N110" s="33"/>
      <c r="Q110" s="8"/>
      <c r="R110" s="9"/>
      <c r="S110" s="8"/>
      <c r="T110" s="8"/>
      <c r="U110" s="8"/>
      <c r="V110" s="8"/>
      <c r="W110" s="8"/>
      <c r="X110" s="8"/>
      <c r="Y110" s="8"/>
      <c r="Z110" s="8"/>
      <c r="AA110" s="9"/>
      <c r="AB110" s="9"/>
      <c r="AC110" s="9"/>
      <c r="AD110" s="9"/>
      <c r="AE110" s="9"/>
      <c r="AF110" s="9"/>
      <c r="AG110" s="9"/>
      <c r="AH110" s="9"/>
      <c r="AI110" s="9"/>
      <c r="AJ110" s="9"/>
      <c r="AK110" s="9"/>
      <c r="AL110" s="9"/>
      <c r="AM110" s="9"/>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row>
    <row r="111" spans="1:66" s="7" customFormat="1" ht="12.75" customHeight="1">
      <c r="A111" s="36">
        <v>110</v>
      </c>
      <c r="B111" s="134"/>
      <c r="C111" s="334"/>
      <c r="D111" s="349"/>
      <c r="E111" s="631"/>
      <c r="F111" s="757" t="s">
        <v>170</v>
      </c>
      <c r="G111" s="758"/>
      <c r="H111" s="764" t="str">
        <f>IF(H48="   ","   ",IF(H110&lt;=J19,N3,N4))</f>
        <v>   </v>
      </c>
      <c r="I111" s="765"/>
      <c r="J111" s="765"/>
      <c r="K111" s="766"/>
      <c r="L111" s="73"/>
      <c r="M111" s="104"/>
      <c r="N111" s="33"/>
      <c r="Q111" s="8"/>
      <c r="R111" s="9"/>
      <c r="S111" s="8"/>
      <c r="T111" s="8"/>
      <c r="U111" s="8"/>
      <c r="V111" s="8"/>
      <c r="W111" s="8"/>
      <c r="X111" s="8"/>
      <c r="Y111" s="8"/>
      <c r="Z111" s="8"/>
      <c r="AA111" s="9"/>
      <c r="AB111" s="9"/>
      <c r="AC111" s="9"/>
      <c r="AD111" s="9"/>
      <c r="AE111" s="9"/>
      <c r="AF111" s="9"/>
      <c r="AG111" s="9"/>
      <c r="AH111" s="9"/>
      <c r="AI111" s="9"/>
      <c r="AJ111" s="9"/>
      <c r="AK111" s="9"/>
      <c r="AL111" s="9"/>
      <c r="AM111" s="9"/>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row>
    <row r="112" spans="1:66" s="7" customFormat="1" ht="12.75" customHeight="1">
      <c r="A112" s="36">
        <v>111</v>
      </c>
      <c r="B112" s="756" t="s">
        <v>375</v>
      </c>
      <c r="C112" s="656"/>
      <c r="D112" s="696"/>
      <c r="E112" s="87" t="s">
        <v>55</v>
      </c>
      <c r="F112" s="548" t="s">
        <v>376</v>
      </c>
      <c r="G112" s="523" t="s">
        <v>60</v>
      </c>
      <c r="H112" s="166" t="str">
        <f>IF($H$49="   ","   ",(J17/H110))</f>
        <v>   </v>
      </c>
      <c r="I112" s="400"/>
      <c r="J112" s="38"/>
      <c r="K112" s="167" t="str">
        <f>IF(H112="   ","   ",IF(AND(H112&gt;=0,H112&lt;=40),(0.23/40)*H112+0.3,IF(AND(H112&gt;40,H112&lt;120),(0.27/80)*(H112-40)+0.53,0.8)))</f>
        <v>   </v>
      </c>
      <c r="L112" s="73"/>
      <c r="M112" s="104"/>
      <c r="N112" s="33"/>
      <c r="Q112" s="8"/>
      <c r="R112" s="9"/>
      <c r="S112" s="8"/>
      <c r="T112" s="8"/>
      <c r="U112" s="8"/>
      <c r="V112" s="8"/>
      <c r="W112" s="8"/>
      <c r="X112" s="8"/>
      <c r="Y112" s="8"/>
      <c r="Z112" s="8"/>
      <c r="AA112" s="9"/>
      <c r="AB112" s="9"/>
      <c r="AC112" s="9"/>
      <c r="AD112" s="9"/>
      <c r="AE112" s="9"/>
      <c r="AF112" s="9"/>
      <c r="AG112" s="9"/>
      <c r="AH112" s="9"/>
      <c r="AI112" s="9"/>
      <c r="AJ112" s="9"/>
      <c r="AK112" s="9"/>
      <c r="AL112" s="9"/>
      <c r="AM112" s="9"/>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row>
    <row r="113" spans="1:66" s="7" customFormat="1" ht="12.75" customHeight="1">
      <c r="A113" s="36">
        <v>112</v>
      </c>
      <c r="B113" s="763" t="s">
        <v>66</v>
      </c>
      <c r="C113" s="722"/>
      <c r="D113" s="723"/>
      <c r="E113" s="205" t="s">
        <v>0</v>
      </c>
      <c r="F113" s="652" t="s">
        <v>377</v>
      </c>
      <c r="G113" s="759"/>
      <c r="H113" s="551" t="str">
        <f>IF($H$49="   ","   ",ROUNDUP($H$110*$K$112,1))</f>
        <v>   </v>
      </c>
      <c r="I113" s="543" t="str">
        <f>IF(H48="   ","   ",IF(H113&lt;K113,"&lt;","&gt;"))</f>
        <v>   </v>
      </c>
      <c r="J113" s="401" t="s">
        <v>240</v>
      </c>
      <c r="K113" s="552" t="str">
        <f>IF(H48="   ","   ",J21)</f>
        <v>   </v>
      </c>
      <c r="L113" s="83"/>
      <c r="M113" s="104"/>
      <c r="N113" s="33"/>
      <c r="Q113" s="8"/>
      <c r="R113" s="9"/>
      <c r="S113" s="8"/>
      <c r="T113" s="8"/>
      <c r="U113" s="8"/>
      <c r="V113" s="8"/>
      <c r="W113" s="8"/>
      <c r="X113" s="8"/>
      <c r="Y113" s="8"/>
      <c r="Z113" s="8"/>
      <c r="AA113" s="9"/>
      <c r="AB113" s="9"/>
      <c r="AC113" s="9"/>
      <c r="AD113" s="9"/>
      <c r="AE113" s="9"/>
      <c r="AF113" s="9"/>
      <c r="AG113" s="9"/>
      <c r="AH113" s="9"/>
      <c r="AI113" s="9"/>
      <c r="AJ113" s="9"/>
      <c r="AK113" s="9"/>
      <c r="AL113" s="9"/>
      <c r="AM113" s="9"/>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row>
    <row r="114" spans="1:66" s="7" customFormat="1" ht="12.75" customHeight="1">
      <c r="A114" s="36">
        <v>113</v>
      </c>
      <c r="B114" s="720"/>
      <c r="C114" s="721"/>
      <c r="D114" s="721"/>
      <c r="E114" s="61"/>
      <c r="F114" s="704" t="s">
        <v>170</v>
      </c>
      <c r="G114" s="705"/>
      <c r="H114" s="767" t="str">
        <f>IF($H$49="   ","   ",IF(OR(H108=N4,H111=N4),"   ",IF(AND(I110="&lt;",I113="&lt;"),N3,N4)))</f>
        <v>   </v>
      </c>
      <c r="I114" s="768"/>
      <c r="J114" s="769"/>
      <c r="K114" s="769"/>
      <c r="L114" s="85"/>
      <c r="M114" s="104"/>
      <c r="N114" s="33"/>
      <c r="Q114" s="8"/>
      <c r="R114" s="9"/>
      <c r="S114" s="8"/>
      <c r="T114" s="8"/>
      <c r="U114" s="8"/>
      <c r="V114" s="8"/>
      <c r="W114" s="8"/>
      <c r="X114" s="8"/>
      <c r="Y114" s="8"/>
      <c r="Z114" s="8"/>
      <c r="AA114" s="9"/>
      <c r="AB114" s="9"/>
      <c r="AC114" s="9"/>
      <c r="AD114" s="9"/>
      <c r="AE114" s="9"/>
      <c r="AF114" s="9"/>
      <c r="AG114" s="9"/>
      <c r="AH114" s="9"/>
      <c r="AI114" s="9"/>
      <c r="AJ114" s="9"/>
      <c r="AK114" s="9"/>
      <c r="AL114" s="9"/>
      <c r="AM114" s="9"/>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row>
    <row r="115" spans="1:14" ht="15.75" customHeight="1">
      <c r="A115" s="36">
        <v>114</v>
      </c>
      <c r="B115" s="635" t="s">
        <v>378</v>
      </c>
      <c r="C115" s="702"/>
      <c r="D115" s="702"/>
      <c r="E115" s="702"/>
      <c r="F115" s="702"/>
      <c r="G115" s="702"/>
      <c r="H115" s="702"/>
      <c r="I115" s="702"/>
      <c r="J115" s="702"/>
      <c r="K115" s="702"/>
      <c r="L115" s="703"/>
      <c r="N115" s="34"/>
    </row>
    <row r="116" spans="1:66" s="7" customFormat="1" ht="13.5" customHeight="1">
      <c r="A116" s="36">
        <v>115</v>
      </c>
      <c r="B116" s="711" t="s">
        <v>379</v>
      </c>
      <c r="C116" s="712"/>
      <c r="D116" s="712"/>
      <c r="E116" s="712"/>
      <c r="F116" s="712"/>
      <c r="G116" s="712"/>
      <c r="H116" s="712"/>
      <c r="I116" s="712"/>
      <c r="J116" s="712"/>
      <c r="K116" s="712"/>
      <c r="L116" s="713"/>
      <c r="M116" s="320"/>
      <c r="N116" s="33"/>
      <c r="Q116" s="8"/>
      <c r="R116" s="9"/>
      <c r="S116" s="8"/>
      <c r="T116" s="8"/>
      <c r="U116" s="8"/>
      <c r="V116" s="8"/>
      <c r="W116" s="8"/>
      <c r="X116" s="8"/>
      <c r="Y116" s="8"/>
      <c r="Z116" s="8"/>
      <c r="AA116" s="9"/>
      <c r="AB116" s="9"/>
      <c r="AC116" s="9"/>
      <c r="AD116" s="9"/>
      <c r="AE116" s="9"/>
      <c r="AF116" s="9"/>
      <c r="AG116" s="9"/>
      <c r="AH116" s="9"/>
      <c r="AI116" s="9"/>
      <c r="AJ116" s="9"/>
      <c r="AK116" s="9"/>
      <c r="AL116" s="9"/>
      <c r="AM116" s="9"/>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row>
    <row r="117" spans="1:66" s="7" customFormat="1" ht="13.5" customHeight="1">
      <c r="A117" s="36">
        <v>116</v>
      </c>
      <c r="B117" s="708" t="s">
        <v>131</v>
      </c>
      <c r="C117" s="709"/>
      <c r="D117" s="709"/>
      <c r="E117" s="709"/>
      <c r="F117" s="684" t="s">
        <v>380</v>
      </c>
      <c r="G117" s="685"/>
      <c r="H117" s="684" t="s">
        <v>381</v>
      </c>
      <c r="I117" s="685"/>
      <c r="J117" s="684" t="s">
        <v>382</v>
      </c>
      <c r="K117" s="690"/>
      <c r="L117" s="98"/>
      <c r="M117" s="106"/>
      <c r="N117" s="33"/>
      <c r="Q117" s="8"/>
      <c r="R117" s="9"/>
      <c r="S117" s="8"/>
      <c r="T117" s="8"/>
      <c r="U117" s="8"/>
      <c r="V117" s="8"/>
      <c r="W117" s="8"/>
      <c r="X117" s="8"/>
      <c r="Y117" s="8"/>
      <c r="Z117" s="8"/>
      <c r="AA117" s="9"/>
      <c r="AB117" s="9"/>
      <c r="AC117" s="9"/>
      <c r="AD117" s="9"/>
      <c r="AE117" s="9"/>
      <c r="AF117" s="9"/>
      <c r="AG117" s="9"/>
      <c r="AH117" s="9"/>
      <c r="AI117" s="9"/>
      <c r="AJ117" s="9"/>
      <c r="AK117" s="9"/>
      <c r="AL117" s="9"/>
      <c r="AM117" s="9"/>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row>
    <row r="118" spans="1:66" s="7" customFormat="1" ht="12.75" customHeight="1">
      <c r="A118" s="36">
        <v>117</v>
      </c>
      <c r="B118" s="553" t="s">
        <v>77</v>
      </c>
      <c r="C118" s="699" t="s">
        <v>79</v>
      </c>
      <c r="D118" s="731"/>
      <c r="E118" s="70" t="s">
        <v>10</v>
      </c>
      <c r="F118" s="729" t="str">
        <f>IF(H114="   ","   ",IF(NOT(H35=N38),0,$H$70*$H$79+$K$70*$H$30))</f>
        <v>   </v>
      </c>
      <c r="G118" s="730"/>
      <c r="H118" s="725" t="str">
        <f>IF(H114="   ","   ",IF(F118=0,0,0))</f>
        <v>   </v>
      </c>
      <c r="I118" s="726"/>
      <c r="J118" s="682" t="str">
        <f>IF(H114="   ","   ",IF(F118=0,0,MAX($H$70*$H$79+$K$70*H32,H70*H79+K70*H93)))</f>
        <v>   </v>
      </c>
      <c r="K118" s="683"/>
      <c r="L118" s="171"/>
      <c r="M118" s="106"/>
      <c r="N118" s="33"/>
      <c r="Q118" s="8"/>
      <c r="R118" s="9"/>
      <c r="S118" s="8"/>
      <c r="T118" s="8"/>
      <c r="U118" s="8"/>
      <c r="V118" s="8"/>
      <c r="W118" s="8"/>
      <c r="X118" s="8"/>
      <c r="Y118" s="8"/>
      <c r="Z118" s="8"/>
      <c r="AA118" s="9"/>
      <c r="AB118" s="9"/>
      <c r="AC118" s="9"/>
      <c r="AD118" s="9"/>
      <c r="AE118" s="9"/>
      <c r="AF118" s="9"/>
      <c r="AG118" s="9"/>
      <c r="AH118" s="9"/>
      <c r="AI118" s="9"/>
      <c r="AJ118" s="9"/>
      <c r="AK118" s="9"/>
      <c r="AL118" s="9"/>
      <c r="AM118" s="9"/>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row>
    <row r="119" spans="1:66" s="7" customFormat="1" ht="12.75" customHeight="1">
      <c r="A119" s="36">
        <v>118</v>
      </c>
      <c r="B119" s="554" t="s">
        <v>78</v>
      </c>
      <c r="C119" s="727" t="s">
        <v>81</v>
      </c>
      <c r="D119" s="728"/>
      <c r="E119" s="71" t="s">
        <v>10</v>
      </c>
      <c r="F119" s="691" t="str">
        <f>IF(H114="   ","   ",IF(OR($H$35=$N$38,H35=N37),0,$H$70*H79+$K$70*$H$30))</f>
        <v>   </v>
      </c>
      <c r="G119" s="692"/>
      <c r="H119" s="691" t="str">
        <f>IF(H114="   ","   ",IF(F119=0,0,$K$70*$J$89))</f>
        <v>   </v>
      </c>
      <c r="I119" s="732"/>
      <c r="J119" s="688" t="str">
        <f>IF(H114="   ","   ",IF(F119=0,0,MAX($H$70*H79+$K$70*(J89+H32),H70*H79+K70*(1*J89+H93))))</f>
        <v>   </v>
      </c>
      <c r="K119" s="689"/>
      <c r="L119" s="171"/>
      <c r="M119" s="106"/>
      <c r="N119" s="33"/>
      <c r="Q119" s="8"/>
      <c r="R119" s="9"/>
      <c r="S119" s="8"/>
      <c r="T119" s="8"/>
      <c r="U119" s="8"/>
      <c r="V119" s="8"/>
      <c r="W119" s="8"/>
      <c r="X119" s="8"/>
      <c r="Y119" s="8"/>
      <c r="Z119" s="8"/>
      <c r="AA119" s="9"/>
      <c r="AB119" s="9"/>
      <c r="AC119" s="9"/>
      <c r="AD119" s="9"/>
      <c r="AE119" s="9"/>
      <c r="AF119" s="9"/>
      <c r="AG119" s="9"/>
      <c r="AH119" s="9"/>
      <c r="AI119" s="9"/>
      <c r="AJ119" s="9"/>
      <c r="AK119" s="9"/>
      <c r="AL119" s="9"/>
      <c r="AM119" s="9"/>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row>
    <row r="120" spans="1:66" s="7" customFormat="1" ht="12.75" customHeight="1">
      <c r="A120" s="36">
        <v>119</v>
      </c>
      <c r="B120" s="555"/>
      <c r="C120" s="727" t="s">
        <v>80</v>
      </c>
      <c r="D120" s="728"/>
      <c r="E120" s="71" t="s">
        <v>10</v>
      </c>
      <c r="F120" s="691" t="str">
        <f>IF(H114="   ","   ",IF(OR(H35=N36,H35=N37),$H$70*$H$79+$K$70*$H$30,0))</f>
        <v>   </v>
      </c>
      <c r="G120" s="692"/>
      <c r="H120" s="693" t="str">
        <f>IF(H114="   ","   ",IF(F120=0,0,0))</f>
        <v>   </v>
      </c>
      <c r="I120" s="694"/>
      <c r="J120" s="688" t="str">
        <f>IF(H114="   ","   ",IF(F120=0,0,MAX($H$70*$H$79+$K$70*H32,H70*H79+K70*H93)))</f>
        <v>   </v>
      </c>
      <c r="K120" s="689"/>
      <c r="L120" s="171"/>
      <c r="M120" s="106"/>
      <c r="N120" s="33"/>
      <c r="Q120" s="8"/>
      <c r="R120" s="9"/>
      <c r="S120" s="8"/>
      <c r="T120" s="8"/>
      <c r="U120" s="8"/>
      <c r="V120" s="8"/>
      <c r="W120" s="8"/>
      <c r="X120" s="8"/>
      <c r="Y120" s="8"/>
      <c r="Z120" s="8"/>
      <c r="AA120" s="9"/>
      <c r="AB120" s="9"/>
      <c r="AC120" s="9"/>
      <c r="AD120" s="9"/>
      <c r="AE120" s="9"/>
      <c r="AF120" s="9"/>
      <c r="AG120" s="9"/>
      <c r="AH120" s="9"/>
      <c r="AI120" s="9"/>
      <c r="AJ120" s="9"/>
      <c r="AK120" s="9"/>
      <c r="AL120" s="9"/>
      <c r="AM120" s="9"/>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row>
    <row r="121" spans="1:66" s="7" customFormat="1" ht="12.75" customHeight="1">
      <c r="A121" s="36">
        <v>120</v>
      </c>
      <c r="B121" s="402"/>
      <c r="C121" s="99"/>
      <c r="D121" s="402"/>
      <c r="E121" s="403"/>
      <c r="F121" s="684" t="s">
        <v>383</v>
      </c>
      <c r="G121" s="770"/>
      <c r="H121" s="684" t="s">
        <v>384</v>
      </c>
      <c r="I121" s="707"/>
      <c r="J121" s="776" t="s">
        <v>385</v>
      </c>
      <c r="K121" s="777"/>
      <c r="L121" s="100"/>
      <c r="M121" s="106"/>
      <c r="N121" s="33"/>
      <c r="Q121" s="8"/>
      <c r="R121" s="9"/>
      <c r="S121" s="8"/>
      <c r="T121" s="8"/>
      <c r="U121" s="8"/>
      <c r="V121" s="8"/>
      <c r="W121" s="8"/>
      <c r="X121" s="8"/>
      <c r="Y121" s="8"/>
      <c r="Z121" s="8"/>
      <c r="AA121" s="9"/>
      <c r="AB121" s="9"/>
      <c r="AC121" s="9"/>
      <c r="AD121" s="9"/>
      <c r="AE121" s="9"/>
      <c r="AF121" s="9"/>
      <c r="AG121" s="9"/>
      <c r="AH121" s="9"/>
      <c r="AI121" s="9"/>
      <c r="AJ121" s="9"/>
      <c r="AK121" s="9"/>
      <c r="AL121" s="9"/>
      <c r="AM121" s="9"/>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row>
    <row r="122" spans="1:66" s="7" customFormat="1" ht="15.75" customHeight="1">
      <c r="A122" s="36">
        <v>121</v>
      </c>
      <c r="B122" s="553" t="s">
        <v>77</v>
      </c>
      <c r="C122" s="699" t="s">
        <v>79</v>
      </c>
      <c r="D122" s="731"/>
      <c r="E122" s="71" t="s">
        <v>10</v>
      </c>
      <c r="F122" s="771" t="str">
        <f>IF(H114="   ","   ",IF(F118=0,0,0.306*POWER(J17/J20,1.543)*F118*((SIN(2*PI()*(90-J15)/360))/SQRT(COS(2*PI()*(90-J15)/360)))*$H$40*$H$41*$H$69/H44))</f>
        <v>   </v>
      </c>
      <c r="G122" s="706"/>
      <c r="H122" s="774" t="str">
        <f>IF(H114="   ","   ",IF(H35=N38,0,0))</f>
        <v>   </v>
      </c>
      <c r="I122" s="775"/>
      <c r="J122" s="778" t="str">
        <f>IF(H114="   ","   ",IF(F122=0,0,0.306*POWER(J17/J20,1.543)*J118*(SIN(2*PI()*(90-J15)/360)/SQRT(COS(2*PI()*(90-J15)/360)))*$H$40*$H$41*$H$69/$H$45))</f>
        <v>   </v>
      </c>
      <c r="K122" s="706"/>
      <c r="L122" s="144"/>
      <c r="M122" s="104"/>
      <c r="N122" s="33"/>
      <c r="Q122" s="8"/>
      <c r="R122" s="9"/>
      <c r="S122" s="8"/>
      <c r="T122" s="8"/>
      <c r="U122" s="8"/>
      <c r="V122" s="8"/>
      <c r="W122" s="8"/>
      <c r="X122" s="8"/>
      <c r="Y122" s="8"/>
      <c r="Z122" s="8"/>
      <c r="AA122" s="9"/>
      <c r="AB122" s="9"/>
      <c r="AC122" s="9"/>
      <c r="AD122" s="9"/>
      <c r="AE122" s="9"/>
      <c r="AF122" s="9"/>
      <c r="AG122" s="9"/>
      <c r="AH122" s="9"/>
      <c r="AI122" s="9"/>
      <c r="AJ122" s="9"/>
      <c r="AK122" s="9"/>
      <c r="AL122" s="9"/>
      <c r="AM122" s="9"/>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row>
    <row r="123" spans="1:66" s="7" customFormat="1" ht="12.75" customHeight="1">
      <c r="A123" s="36">
        <v>122</v>
      </c>
      <c r="B123" s="554" t="s">
        <v>256</v>
      </c>
      <c r="C123" s="727" t="s">
        <v>81</v>
      </c>
      <c r="D123" s="728"/>
      <c r="E123" s="71" t="s">
        <v>10</v>
      </c>
      <c r="F123" s="695" t="str">
        <f>IF(H114="   ","   ",IF(F119=0,0,0.306*POWER(J17/J20,1.543)*F119*(SIN(2*PI()*(90-J15)/360)/SQRT(COS(2*PI()*(90-J15)/360)))*$H$40*$H$41*$H$69/$H$44))</f>
        <v>   </v>
      </c>
      <c r="G123" s="696"/>
      <c r="H123" s="695" t="str">
        <f>IF(H114="   ","   ",IF(F123=0,0,0.306*POWER(J17/J20,1.543)*H119*(SIN(2*PI()*(90-J15)/360)/SQRT(COS(2*PI()*(90-J15)/360)))*$H$40*$H$41*$H$69/$H$44))</f>
        <v>   </v>
      </c>
      <c r="I123" s="696"/>
      <c r="J123" s="647" t="str">
        <f>IF(H114="   ","   ",IF(F123=0,0,0.306*POWER(J17/J20,1.543)*J119*(SIN(2*PI()*(90-J15)/360)/SQRT(COS(2*PI()*(90-J15)/360)))*$H$40*$H$41*$H$69/$H$45))</f>
        <v>   </v>
      </c>
      <c r="K123" s="696"/>
      <c r="L123" s="170"/>
      <c r="M123" s="104"/>
      <c r="N123" s="33"/>
      <c r="Q123" s="8"/>
      <c r="R123" s="9"/>
      <c r="S123" s="8"/>
      <c r="T123" s="8"/>
      <c r="U123" s="8"/>
      <c r="V123" s="8"/>
      <c r="W123" s="8"/>
      <c r="X123" s="8"/>
      <c r="Y123" s="8"/>
      <c r="Z123" s="8"/>
      <c r="AA123" s="9"/>
      <c r="AB123" s="9"/>
      <c r="AC123" s="9"/>
      <c r="AD123" s="9"/>
      <c r="AE123" s="9"/>
      <c r="AF123" s="9"/>
      <c r="AG123" s="9"/>
      <c r="AH123" s="9"/>
      <c r="AI123" s="9"/>
      <c r="AJ123" s="9"/>
      <c r="AK123" s="9"/>
      <c r="AL123" s="9"/>
      <c r="AM123" s="9"/>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row>
    <row r="124" spans="1:66" s="7" customFormat="1" ht="12.75" customHeight="1">
      <c r="A124" s="36">
        <v>123</v>
      </c>
      <c r="B124" s="556"/>
      <c r="C124" s="966" t="s">
        <v>80</v>
      </c>
      <c r="D124" s="967"/>
      <c r="E124" s="71" t="s">
        <v>10</v>
      </c>
      <c r="F124" s="695" t="str">
        <f>IF(H114="   ","   ",IF(OR(H35=N36,H35=N37),0.306*POWER(J17/J20,1.543)*F120*(SIN(2*PI()*(90-J15)/360)/SQRT(COS(2*PI()*(90-J15)/360)))*$H$40*$H$41*$H$69/$H$44,0))</f>
        <v>   </v>
      </c>
      <c r="G124" s="696"/>
      <c r="H124" s="652" t="str">
        <f>IF(H114="   ","   ",IF(F124=0,0,0))</f>
        <v>   </v>
      </c>
      <c r="I124" s="653"/>
      <c r="J124" s="647" t="str">
        <f>IF(H114="   ","   ",IF(F124=0,0,0.306*POWER(J17/J20,1.543)*J120*(SIN(2*PI()*(90-J15)/360)/SQRT(COS(2*PI()*(90-J15)/360)))*$H$40*$H$41*$H$69/$H$45))</f>
        <v>   </v>
      </c>
      <c r="K124" s="696"/>
      <c r="L124" s="144"/>
      <c r="M124" s="104"/>
      <c r="N124" s="33"/>
      <c r="Q124" s="8"/>
      <c r="R124" s="9"/>
      <c r="S124" s="8"/>
      <c r="T124" s="8"/>
      <c r="U124" s="8"/>
      <c r="V124" s="8"/>
      <c r="W124" s="8"/>
      <c r="X124" s="8"/>
      <c r="Y124" s="8"/>
      <c r="Z124" s="8"/>
      <c r="AA124" s="9"/>
      <c r="AB124" s="9"/>
      <c r="AC124" s="9"/>
      <c r="AD124" s="9"/>
      <c r="AE124" s="9"/>
      <c r="AF124" s="9"/>
      <c r="AG124" s="9"/>
      <c r="AH124" s="9"/>
      <c r="AI124" s="9"/>
      <c r="AJ124" s="9"/>
      <c r="AK124" s="9"/>
      <c r="AL124" s="9"/>
      <c r="AM124" s="9"/>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row>
    <row r="125" spans="1:66" s="7" customFormat="1" ht="15.75" customHeight="1">
      <c r="A125" s="36">
        <v>124</v>
      </c>
      <c r="B125" s="844" t="s">
        <v>73</v>
      </c>
      <c r="C125" s="845"/>
      <c r="D125" s="845"/>
      <c r="E125" s="638" t="s">
        <v>386</v>
      </c>
      <c r="F125" s="638"/>
      <c r="G125" s="638"/>
      <c r="H125" s="638"/>
      <c r="I125" s="638"/>
      <c r="J125" s="638"/>
      <c r="K125" s="638"/>
      <c r="L125" s="404" t="s">
        <v>72</v>
      </c>
      <c r="M125" s="104"/>
      <c r="N125" s="33"/>
      <c r="Q125" s="8"/>
      <c r="R125" s="9"/>
      <c r="S125" s="8"/>
      <c r="T125" s="8"/>
      <c r="U125" s="8"/>
      <c r="V125" s="8"/>
      <c r="W125" s="8"/>
      <c r="X125" s="8"/>
      <c r="Y125" s="8"/>
      <c r="Z125" s="8"/>
      <c r="AA125" s="9"/>
      <c r="AB125" s="9"/>
      <c r="AC125" s="9"/>
      <c r="AD125" s="9"/>
      <c r="AE125" s="9"/>
      <c r="AF125" s="9"/>
      <c r="AG125" s="9"/>
      <c r="AH125" s="9"/>
      <c r="AI125" s="9"/>
      <c r="AJ125" s="9"/>
      <c r="AK125" s="9"/>
      <c r="AL125" s="9"/>
      <c r="AM125" s="9"/>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row>
    <row r="126" spans="1:66" s="7" customFormat="1" ht="12.75" customHeight="1">
      <c r="A126" s="36">
        <v>125</v>
      </c>
      <c r="B126" s="553" t="s">
        <v>77</v>
      </c>
      <c r="C126" s="699" t="s">
        <v>79</v>
      </c>
      <c r="D126" s="731"/>
      <c r="E126" s="87" t="s">
        <v>55</v>
      </c>
      <c r="F126" s="655" t="str">
        <f>IF(H114="   ","   ",IF(NOT(H35=N38),0,(F122/H59+0)))</f>
        <v>   </v>
      </c>
      <c r="G126" s="742"/>
      <c r="H126" s="152"/>
      <c r="I126" s="386"/>
      <c r="J126" s="655" t="str">
        <f>IF(H114="   ","   ",IF(F126=0,0,J122/I66))</f>
        <v>   </v>
      </c>
      <c r="K126" s="654"/>
      <c r="L126" s="405" t="str">
        <f>IF(H114="   ","   ",IF(F126=0,"   ",IF(AND(F126&gt;0,F126&lt;1,J126&gt;0,J126&lt;1),N3,N4)))</f>
        <v>   </v>
      </c>
      <c r="M126" s="104"/>
      <c r="N126" s="33"/>
      <c r="Q126" s="8"/>
      <c r="R126" s="9"/>
      <c r="S126" s="8"/>
      <c r="T126" s="8"/>
      <c r="U126" s="8"/>
      <c r="V126" s="8"/>
      <c r="W126" s="8"/>
      <c r="X126" s="8"/>
      <c r="Y126" s="8"/>
      <c r="Z126" s="8"/>
      <c r="AA126" s="9"/>
      <c r="AB126" s="9"/>
      <c r="AC126" s="9"/>
      <c r="AD126" s="9"/>
      <c r="AE126" s="9"/>
      <c r="AF126" s="9"/>
      <c r="AG126" s="9"/>
      <c r="AH126" s="9"/>
      <c r="AI126" s="9"/>
      <c r="AJ126" s="9"/>
      <c r="AK126" s="9"/>
      <c r="AL126" s="9"/>
      <c r="AM126" s="9"/>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row>
    <row r="127" spans="1:14" ht="12.75" customHeight="1">
      <c r="A127" s="36">
        <v>126</v>
      </c>
      <c r="B127" s="164"/>
      <c r="C127" s="852" t="s">
        <v>81</v>
      </c>
      <c r="D127" s="853"/>
      <c r="E127" s="87" t="s">
        <v>55</v>
      </c>
      <c r="F127" s="772" t="str">
        <f>IF(H114="   ","   ",IF(F123=0,0,(F123/H59)+(H123/H61)))</f>
        <v>   </v>
      </c>
      <c r="G127" s="773"/>
      <c r="H127" s="153"/>
      <c r="I127" s="396"/>
      <c r="J127" s="772" t="str">
        <f>IF(H114="   ","   ",IF(F127=0,0,J123/H66))</f>
        <v>   </v>
      </c>
      <c r="K127" s="779"/>
      <c r="L127" s="603" t="str">
        <f>IF(H114="   ","   ",IF(F127=0,"   ",IF(AND(F127&gt;0,F127&lt;=1,J127&gt;0,J127&lt;=1),N3,N4)))</f>
        <v>   </v>
      </c>
      <c r="N127" s="34"/>
    </row>
    <row r="128" spans="1:14" ht="12.75" customHeight="1">
      <c r="A128" s="36">
        <v>127</v>
      </c>
      <c r="B128" s="406"/>
      <c r="C128" s="852" t="s">
        <v>80</v>
      </c>
      <c r="D128" s="853"/>
      <c r="E128" s="87" t="s">
        <v>55</v>
      </c>
      <c r="F128" s="772" t="str">
        <f>IF(H114="   ","   ",IF(OR($H$35=N36,H35=N37),(F124/H60+0),0))</f>
        <v>   </v>
      </c>
      <c r="G128" s="773"/>
      <c r="H128" s="153"/>
      <c r="I128" s="396"/>
      <c r="J128" s="772" t="str">
        <f>IF(H114="   ","   ",IF(F128=0,0,J124/K66))</f>
        <v>   </v>
      </c>
      <c r="K128" s="779"/>
      <c r="L128" s="624" t="str">
        <f>IF(H114="   ","   ",IF(F128=0,"   ",IF(AND(F128&gt;0,F128&lt;1,J128&gt;0,J128&lt;1),N3,N4)))</f>
        <v>   </v>
      </c>
      <c r="N128" s="34"/>
    </row>
    <row r="129" spans="1:14" ht="15.75" customHeight="1">
      <c r="A129" s="36">
        <v>128</v>
      </c>
      <c r="B129" s="970" t="s">
        <v>387</v>
      </c>
      <c r="C129" s="971"/>
      <c r="D129" s="971"/>
      <c r="E129" s="971"/>
      <c r="F129" s="971"/>
      <c r="G129" s="971"/>
      <c r="H129" s="971"/>
      <c r="I129" s="971"/>
      <c r="J129" s="971"/>
      <c r="K129" s="971"/>
      <c r="L129" s="972"/>
      <c r="N129" s="34"/>
    </row>
    <row r="130" spans="1:66" s="7" customFormat="1" ht="13.5" customHeight="1">
      <c r="A130" s="36">
        <v>129</v>
      </c>
      <c r="B130" s="711" t="s">
        <v>388</v>
      </c>
      <c r="C130" s="712"/>
      <c r="D130" s="712"/>
      <c r="E130" s="712"/>
      <c r="F130" s="712"/>
      <c r="G130" s="712"/>
      <c r="H130" s="712"/>
      <c r="I130" s="712"/>
      <c r="J130" s="712"/>
      <c r="K130" s="712"/>
      <c r="L130" s="713"/>
      <c r="M130" s="104"/>
      <c r="N130" s="33"/>
      <c r="Q130" s="8"/>
      <c r="R130" s="9"/>
      <c r="S130" s="8"/>
      <c r="T130" s="8"/>
      <c r="U130" s="8"/>
      <c r="V130" s="8"/>
      <c r="W130" s="8"/>
      <c r="X130" s="8"/>
      <c r="Y130" s="8"/>
      <c r="Z130" s="8"/>
      <c r="AA130" s="9"/>
      <c r="AB130" s="9"/>
      <c r="AC130" s="9"/>
      <c r="AD130" s="9"/>
      <c r="AE130" s="9"/>
      <c r="AF130" s="9"/>
      <c r="AG130" s="9"/>
      <c r="AH130" s="9"/>
      <c r="AI130" s="9"/>
      <c r="AJ130" s="9"/>
      <c r="AK130" s="9"/>
      <c r="AL130" s="9"/>
      <c r="AM130" s="9"/>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row>
    <row r="131" spans="1:66" s="7" customFormat="1" ht="13.5" customHeight="1">
      <c r="A131" s="36">
        <v>130</v>
      </c>
      <c r="B131" s="163" t="s">
        <v>69</v>
      </c>
      <c r="C131" s="97"/>
      <c r="D131" s="96"/>
      <c r="E131" s="97"/>
      <c r="F131" s="684" t="s">
        <v>380</v>
      </c>
      <c r="G131" s="685"/>
      <c r="H131" s="684" t="s">
        <v>381</v>
      </c>
      <c r="I131" s="685"/>
      <c r="J131" s="684" t="s">
        <v>382</v>
      </c>
      <c r="K131" s="690"/>
      <c r="L131" s="98"/>
      <c r="M131" s="106"/>
      <c r="N131" s="33"/>
      <c r="Q131" s="8"/>
      <c r="R131" s="9"/>
      <c r="S131" s="8"/>
      <c r="T131" s="8"/>
      <c r="U131" s="8"/>
      <c r="V131" s="8"/>
      <c r="W131" s="8"/>
      <c r="X131" s="8"/>
      <c r="Y131" s="8"/>
      <c r="Z131" s="8"/>
      <c r="AA131" s="9"/>
      <c r="AB131" s="9"/>
      <c r="AC131" s="9"/>
      <c r="AD131" s="9"/>
      <c r="AE131" s="9"/>
      <c r="AF131" s="9"/>
      <c r="AG131" s="9"/>
      <c r="AH131" s="9"/>
      <c r="AI131" s="9"/>
      <c r="AJ131" s="9"/>
      <c r="AK131" s="9"/>
      <c r="AL131" s="9"/>
      <c r="AM131" s="9"/>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row>
    <row r="132" spans="1:66" s="7" customFormat="1" ht="12.75" customHeight="1">
      <c r="A132" s="36">
        <v>131</v>
      </c>
      <c r="B132" s="554" t="s">
        <v>77</v>
      </c>
      <c r="C132" s="656" t="s">
        <v>79</v>
      </c>
      <c r="D132" s="728"/>
      <c r="E132" s="70" t="s">
        <v>10</v>
      </c>
      <c r="F132" s="729" t="str">
        <f>IF(H114="   ","   ",IF(NOT(H35=N38),0,K70*H29-H71*H79))</f>
        <v>   </v>
      </c>
      <c r="G132" s="730"/>
      <c r="H132" s="725">
        <v>0</v>
      </c>
      <c r="I132" s="726"/>
      <c r="J132" s="682" t="str">
        <f>IF(H114="   ","   ",IF(NOT(H35=N38),0,$K$70*$H$31-$H$71*H79))</f>
        <v>   </v>
      </c>
      <c r="K132" s="683"/>
      <c r="L132" s="73"/>
      <c r="M132" s="106"/>
      <c r="N132" s="33"/>
      <c r="Q132" s="8"/>
      <c r="R132" s="9"/>
      <c r="S132" s="8"/>
      <c r="T132" s="8"/>
      <c r="U132" s="8"/>
      <c r="V132" s="8"/>
      <c r="W132" s="8"/>
      <c r="X132" s="8"/>
      <c r="Y132" s="8"/>
      <c r="Z132" s="8"/>
      <c r="AA132" s="9"/>
      <c r="AB132" s="9"/>
      <c r="AC132" s="9"/>
      <c r="AD132" s="9"/>
      <c r="AE132" s="9"/>
      <c r="AF132" s="9"/>
      <c r="AG132" s="9"/>
      <c r="AH132" s="9"/>
      <c r="AI132" s="9"/>
      <c r="AJ132" s="9"/>
      <c r="AK132" s="9"/>
      <c r="AL132" s="9"/>
      <c r="AM132" s="9"/>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row>
    <row r="133" spans="1:66" s="7" customFormat="1" ht="12.75" customHeight="1">
      <c r="A133" s="36">
        <v>132</v>
      </c>
      <c r="B133" s="554" t="s">
        <v>78</v>
      </c>
      <c r="C133" s="727" t="s">
        <v>80</v>
      </c>
      <c r="D133" s="728"/>
      <c r="E133" s="71" t="s">
        <v>10</v>
      </c>
      <c r="F133" s="691" t="str">
        <f>IF(H114="   ","   ",IF(OR(H35=N36,H35=N37),K70*H29-H71*H79,0))</f>
        <v>   </v>
      </c>
      <c r="G133" s="692"/>
      <c r="H133" s="693">
        <v>0</v>
      </c>
      <c r="I133" s="694"/>
      <c r="J133" s="863" t="str">
        <f>IF(H114="   ","   ",IF(F133=0,0,$K$70*$H$31-$H$71*$H$79))</f>
        <v>   </v>
      </c>
      <c r="K133" s="864"/>
      <c r="L133" s="73"/>
      <c r="M133" s="106"/>
      <c r="N133" s="33"/>
      <c r="Q133" s="8"/>
      <c r="R133" s="9"/>
      <c r="S133" s="8"/>
      <c r="T133" s="8"/>
      <c r="U133" s="8"/>
      <c r="V133" s="8"/>
      <c r="W133" s="8"/>
      <c r="X133" s="8"/>
      <c r="Y133" s="8"/>
      <c r="Z133" s="8"/>
      <c r="AA133" s="9"/>
      <c r="AB133" s="9"/>
      <c r="AC133" s="9"/>
      <c r="AD133" s="9"/>
      <c r="AE133" s="9"/>
      <c r="AF133" s="9"/>
      <c r="AG133" s="9"/>
      <c r="AH133" s="9"/>
      <c r="AI133" s="9"/>
      <c r="AJ133" s="9"/>
      <c r="AK133" s="9"/>
      <c r="AL133" s="9"/>
      <c r="AM133" s="9"/>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row>
    <row r="134" spans="1:66" s="7" customFormat="1" ht="12.75" customHeight="1">
      <c r="A134" s="36">
        <v>133</v>
      </c>
      <c r="B134" s="402"/>
      <c r="C134" s="99"/>
      <c r="D134" s="402"/>
      <c r="E134" s="403"/>
      <c r="F134" s="684" t="s">
        <v>383</v>
      </c>
      <c r="G134" s="770"/>
      <c r="H134" s="684" t="s">
        <v>384</v>
      </c>
      <c r="I134" s="707"/>
      <c r="J134" s="684" t="s">
        <v>389</v>
      </c>
      <c r="K134" s="707"/>
      <c r="L134" s="100"/>
      <c r="M134" s="106"/>
      <c r="N134" s="33"/>
      <c r="Q134" s="8"/>
      <c r="R134" s="9"/>
      <c r="S134" s="8"/>
      <c r="T134" s="8"/>
      <c r="U134" s="8"/>
      <c r="V134" s="8"/>
      <c r="W134" s="8"/>
      <c r="X134" s="8"/>
      <c r="Y134" s="8"/>
      <c r="Z134" s="8"/>
      <c r="AA134" s="9"/>
      <c r="AB134" s="9"/>
      <c r="AC134" s="9"/>
      <c r="AD134" s="9"/>
      <c r="AE134" s="9"/>
      <c r="AF134" s="9"/>
      <c r="AG134" s="9"/>
      <c r="AH134" s="9"/>
      <c r="AI134" s="9"/>
      <c r="AJ134" s="9"/>
      <c r="AK134" s="9"/>
      <c r="AL134" s="9"/>
      <c r="AM134" s="9"/>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row>
    <row r="135" spans="1:66" s="7" customFormat="1" ht="15.75" customHeight="1">
      <c r="A135" s="36">
        <v>134</v>
      </c>
      <c r="B135" s="554" t="s">
        <v>77</v>
      </c>
      <c r="C135" s="968" t="s">
        <v>79</v>
      </c>
      <c r="D135" s="969"/>
      <c r="E135" s="71" t="s">
        <v>10</v>
      </c>
      <c r="F135" s="771" t="str">
        <f>IF(H114="   ","   ",IF(NOT(H35=N38),0,0.306*POWER(J17/J20,1.543)*F132*(SIN(2*PI()*(90-J15)/360)/SQRT(COS(2*PI()*(90-J15)/360)))*$H$40*$H$41*$H$69/$H$44))</f>
        <v>   </v>
      </c>
      <c r="G135" s="706"/>
      <c r="H135" s="774">
        <v>0</v>
      </c>
      <c r="I135" s="775"/>
      <c r="J135" s="778" t="str">
        <f>IF(H114="   ","   ",IF(F135=0,0,0.306*POWER(J17/J20,1.543)*J132*(SIN(2*PI()*(90-J15)/360)/SQRT(COS(2*PI()*(90-J15)/360)))*$H$40*$H$41*$H$69/$H$45))</f>
        <v>   </v>
      </c>
      <c r="K135" s="706"/>
      <c r="L135" s="73"/>
      <c r="M135" s="104"/>
      <c r="N135" s="33"/>
      <c r="Q135" s="8"/>
      <c r="R135" s="9"/>
      <c r="S135" s="8"/>
      <c r="T135" s="8"/>
      <c r="U135" s="8"/>
      <c r="V135" s="8"/>
      <c r="W135" s="8"/>
      <c r="X135" s="8"/>
      <c r="Y135" s="8"/>
      <c r="Z135" s="8"/>
      <c r="AA135" s="9"/>
      <c r="AB135" s="9"/>
      <c r="AC135" s="9"/>
      <c r="AD135" s="9"/>
      <c r="AE135" s="9"/>
      <c r="AF135" s="9"/>
      <c r="AG135" s="9"/>
      <c r="AH135" s="9"/>
      <c r="AI135" s="9"/>
      <c r="AJ135" s="9"/>
      <c r="AK135" s="9"/>
      <c r="AL135" s="9"/>
      <c r="AM135" s="9"/>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row>
    <row r="136" spans="1:66" s="7" customFormat="1" ht="12.75" customHeight="1">
      <c r="A136" s="36">
        <v>135</v>
      </c>
      <c r="B136" s="554" t="s">
        <v>256</v>
      </c>
      <c r="C136" s="966" t="s">
        <v>80</v>
      </c>
      <c r="D136" s="967"/>
      <c r="E136" s="71" t="s">
        <v>10</v>
      </c>
      <c r="F136" s="695" t="str">
        <f>IF(H114="   ","   ",IF(OR(H35=N36,H35=N37),0.306*POWER(J17/J20,1.543)*F133*(SIN(2*PI()*(90-J15)/360)/SQRT(COS(2*PI()*(90-J15)/360)))*$H$40*$H$41*$H$69/$H$44,0))</f>
        <v>   </v>
      </c>
      <c r="G136" s="696"/>
      <c r="H136" s="652">
        <v>0</v>
      </c>
      <c r="I136" s="653"/>
      <c r="J136" s="647" t="str">
        <f>IF(H114="   ","   ",IF(F136=0,0,0.306*POWER(J17/J20,1.543)*J133*(SIN(2*PI()*(90-J15)/360)/SQRT(COS(2*PI()*(90-J15)/360)))*$H$40*$H$41*$H$69/$H$45))</f>
        <v>   </v>
      </c>
      <c r="K136" s="696"/>
      <c r="L136" s="73"/>
      <c r="M136" s="104"/>
      <c r="N136" s="33"/>
      <c r="Q136" s="8"/>
      <c r="R136" s="9"/>
      <c r="S136" s="8"/>
      <c r="T136" s="8"/>
      <c r="U136" s="8"/>
      <c r="V136" s="8"/>
      <c r="W136" s="8"/>
      <c r="X136" s="8"/>
      <c r="Y136" s="8"/>
      <c r="Z136" s="8"/>
      <c r="AA136" s="9"/>
      <c r="AB136" s="9"/>
      <c r="AC136" s="9"/>
      <c r="AD136" s="9"/>
      <c r="AE136" s="9"/>
      <c r="AF136" s="9"/>
      <c r="AG136" s="9"/>
      <c r="AH136" s="9"/>
      <c r="AI136" s="9"/>
      <c r="AJ136" s="9"/>
      <c r="AK136" s="9"/>
      <c r="AL136" s="9"/>
      <c r="AM136" s="9"/>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row>
    <row r="137" spans="1:66" s="7" customFormat="1" ht="18" customHeight="1">
      <c r="A137" s="36">
        <v>136</v>
      </c>
      <c r="B137" s="844" t="s">
        <v>73</v>
      </c>
      <c r="C137" s="845"/>
      <c r="D137" s="845"/>
      <c r="E137" s="638" t="s">
        <v>390</v>
      </c>
      <c r="F137" s="638"/>
      <c r="G137" s="638"/>
      <c r="H137" s="638"/>
      <c r="I137" s="638"/>
      <c r="J137" s="638"/>
      <c r="K137" s="638"/>
      <c r="L137" s="623" t="s">
        <v>72</v>
      </c>
      <c r="M137" s="104"/>
      <c r="N137" s="33"/>
      <c r="Q137" s="8"/>
      <c r="R137" s="9"/>
      <c r="S137" s="8"/>
      <c r="T137" s="8"/>
      <c r="U137" s="8"/>
      <c r="V137" s="8"/>
      <c r="W137" s="8"/>
      <c r="X137" s="8"/>
      <c r="Y137" s="8"/>
      <c r="Z137" s="8"/>
      <c r="AA137" s="9"/>
      <c r="AB137" s="9"/>
      <c r="AC137" s="9"/>
      <c r="AD137" s="9"/>
      <c r="AE137" s="9"/>
      <c r="AF137" s="9"/>
      <c r="AG137" s="9"/>
      <c r="AH137" s="9"/>
      <c r="AI137" s="9"/>
      <c r="AJ137" s="9"/>
      <c r="AK137" s="9"/>
      <c r="AL137" s="9"/>
      <c r="AM137" s="9"/>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row>
    <row r="138" spans="1:66" s="7" customFormat="1" ht="12.75" customHeight="1">
      <c r="A138" s="36">
        <v>137</v>
      </c>
      <c r="B138" s="554" t="s">
        <v>77</v>
      </c>
      <c r="C138" s="546" t="s">
        <v>68</v>
      </c>
      <c r="D138" s="557"/>
      <c r="E138" s="87" t="s">
        <v>55</v>
      </c>
      <c r="F138" s="686" t="str">
        <f>IF(H114="   ","   ",IF(NOT(H35=N38),0,(F135/H59+0)))</f>
        <v>   </v>
      </c>
      <c r="G138" s="687"/>
      <c r="H138" s="152"/>
      <c r="I138" s="394"/>
      <c r="J138" s="655" t="str">
        <f>IF(H114="   ","   ",IF(NOT(H35=N38),0,J135/I66))</f>
        <v>   </v>
      </c>
      <c r="K138" s="654"/>
      <c r="L138" s="624" t="str">
        <f>IF(H114="   ","   ",IF(F138=0,"   ",IF(AND(F138&gt;0,F138&lt;=1,J138&gt;0,J138&lt;=1),N3,N4)))</f>
        <v>   </v>
      </c>
      <c r="M138" s="104"/>
      <c r="N138" s="121"/>
      <c r="Q138" s="8"/>
      <c r="R138" s="9"/>
      <c r="S138" s="8"/>
      <c r="T138" s="8"/>
      <c r="U138" s="8"/>
      <c r="V138" s="8"/>
      <c r="W138" s="8"/>
      <c r="X138" s="8"/>
      <c r="Y138" s="8"/>
      <c r="Z138" s="8"/>
      <c r="AA138" s="9"/>
      <c r="AB138" s="9"/>
      <c r="AC138" s="9"/>
      <c r="AD138" s="9"/>
      <c r="AE138" s="9"/>
      <c r="AF138" s="9"/>
      <c r="AG138" s="9"/>
      <c r="AH138" s="9"/>
      <c r="AI138" s="9"/>
      <c r="AJ138" s="9"/>
      <c r="AK138" s="9"/>
      <c r="AL138" s="9"/>
      <c r="AM138" s="9"/>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row>
    <row r="139" spans="1:14" ht="12.75" customHeight="1">
      <c r="A139" s="36">
        <v>138</v>
      </c>
      <c r="B139" s="558"/>
      <c r="C139" s="852" t="s">
        <v>67</v>
      </c>
      <c r="D139" s="853"/>
      <c r="E139" s="87" t="s">
        <v>55</v>
      </c>
      <c r="F139" s="850" t="str">
        <f>IF(H114="   ","   ",IF(OR(H35=N36,H35=N37),(F136/H60+0),0))</f>
        <v>   </v>
      </c>
      <c r="G139" s="851"/>
      <c r="H139" s="153"/>
      <c r="I139" s="398"/>
      <c r="J139" s="772" t="str">
        <f>IF(H114="   ","   ",IF(F139=0,0,J136/K66))</f>
        <v>   </v>
      </c>
      <c r="K139" s="811"/>
      <c r="L139" s="624" t="str">
        <f>IF(H114="   ","   ",IF(F139=0,"   ",IF(AND(F139&gt;0,F139&lt;1,J139&gt;0,J139&lt;1),N3,N4)))</f>
        <v>   </v>
      </c>
      <c r="N139" s="34"/>
    </row>
    <row r="140" spans="1:14" ht="12.75" customHeight="1">
      <c r="A140" s="36">
        <v>139</v>
      </c>
      <c r="B140" s="220"/>
      <c r="C140" s="221"/>
      <c r="D140" s="382"/>
      <c r="E140" s="84"/>
      <c r="F140" s="704" t="s">
        <v>170</v>
      </c>
      <c r="G140" s="705"/>
      <c r="H140" s="855" t="str">
        <f>IF(H114="   ","   ",IF(OR(L126=N4,L127=N4,L128=N4,L138=N4,L139=N4),N4,N3))</f>
        <v>   </v>
      </c>
      <c r="I140" s="856"/>
      <c r="J140" s="856"/>
      <c r="K140" s="856"/>
      <c r="L140" s="405"/>
      <c r="N140" s="34"/>
    </row>
    <row r="141" spans="1:66" s="7" customFormat="1" ht="18" customHeight="1">
      <c r="A141" s="36">
        <v>140</v>
      </c>
      <c r="B141" s="847" t="s">
        <v>391</v>
      </c>
      <c r="C141" s="848"/>
      <c r="D141" s="848"/>
      <c r="E141" s="848"/>
      <c r="F141" s="848"/>
      <c r="G141" s="848"/>
      <c r="H141" s="848"/>
      <c r="I141" s="848"/>
      <c r="J141" s="848"/>
      <c r="K141" s="848"/>
      <c r="L141" s="849"/>
      <c r="M141" s="104"/>
      <c r="N141" s="33"/>
      <c r="Q141" s="8"/>
      <c r="R141" s="9"/>
      <c r="S141" s="8"/>
      <c r="T141" s="8"/>
      <c r="U141" s="8"/>
      <c r="V141" s="8"/>
      <c r="W141" s="8"/>
      <c r="X141" s="8"/>
      <c r="Y141" s="8"/>
      <c r="Z141" s="8"/>
      <c r="AA141" s="9"/>
      <c r="AB141" s="9"/>
      <c r="AC141" s="9"/>
      <c r="AD141" s="9"/>
      <c r="AE141" s="9"/>
      <c r="AF141" s="9"/>
      <c r="AG141" s="9"/>
      <c r="AH141" s="9"/>
      <c r="AI141" s="9"/>
      <c r="AJ141" s="9"/>
      <c r="AK141" s="9"/>
      <c r="AL141" s="9"/>
      <c r="AM141" s="9"/>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row>
    <row r="142" spans="1:66" s="7" customFormat="1" ht="12.75" customHeight="1">
      <c r="A142" s="36">
        <v>141</v>
      </c>
      <c r="B142" s="656" t="s">
        <v>392</v>
      </c>
      <c r="C142" s="656"/>
      <c r="D142" s="656"/>
      <c r="E142" s="310" t="s">
        <v>10</v>
      </c>
      <c r="F142" s="854" t="s">
        <v>394</v>
      </c>
      <c r="G142" s="788"/>
      <c r="H142" s="828" t="str">
        <f>IF(OR(H140="   ",H140=N4),"   ",VLOOKUP(H8,'D1'!A96:'D1'!EV109,32,0))</f>
        <v>   </v>
      </c>
      <c r="I142" s="829"/>
      <c r="J142" s="829" t="str">
        <f>IF(H142="   ","   ",IF(H9=N13,VLOOKUP(H8,'D1'!A112:'D1'!E125,2,0),IF(H9=N14,VLOOKUP(H8,'D1'!A112:'D1'!E125,3,0),IF(H9=N15,VLOOKUP(H8,'D1'!A112:'D1'!E125,4,0),IF(H9=N16,VLOOKUP(H8,'D1'!A112:'D1'!E125,5,0))))))</f>
        <v>   </v>
      </c>
      <c r="K142" s="846"/>
      <c r="L142" s="625" t="s">
        <v>242</v>
      </c>
      <c r="M142" s="104"/>
      <c r="N142" s="33"/>
      <c r="Q142" s="8"/>
      <c r="R142" s="9"/>
      <c r="S142" s="8"/>
      <c r="T142" s="8"/>
      <c r="U142" s="8"/>
      <c r="V142" s="8"/>
      <c r="W142" s="8"/>
      <c r="X142" s="8"/>
      <c r="Y142" s="8"/>
      <c r="Z142" s="8"/>
      <c r="AA142" s="9"/>
      <c r="AB142" s="9"/>
      <c r="AC142" s="9"/>
      <c r="AD142" s="9"/>
      <c r="AE142" s="9"/>
      <c r="AF142" s="9"/>
      <c r="AG142" s="9"/>
      <c r="AH142" s="9"/>
      <c r="AI142" s="9"/>
      <c r="AJ142" s="9"/>
      <c r="AK142" s="9"/>
      <c r="AL142" s="9"/>
      <c r="AM142" s="9"/>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row>
    <row r="143" spans="1:66" s="7" customFormat="1" ht="12.75" customHeight="1">
      <c r="A143" s="36">
        <v>142</v>
      </c>
      <c r="B143" s="656" t="s">
        <v>393</v>
      </c>
      <c r="C143" s="656"/>
      <c r="D143" s="656"/>
      <c r="E143" s="214" t="s">
        <v>10</v>
      </c>
      <c r="F143" s="858" t="s">
        <v>395</v>
      </c>
      <c r="G143" s="649"/>
      <c r="H143" s="212" t="str">
        <f>IF(H142="   ","   ",VLOOKUP(H8,'D1'!A96:'D1'!EV109,12,0))</f>
        <v>   </v>
      </c>
      <c r="I143" s="661" t="str">
        <f>IF(H142="   ","   ",VLOOKUP(H8,'D1'!A96:'D1'!EV109,L5,0))</f>
        <v>   </v>
      </c>
      <c r="J143" s="656"/>
      <c r="K143" s="213" t="str">
        <f>IF(H142="   ","   ",VLOOKUP($H$8,'D1'!A96:'D1'!EV109,62,0))</f>
        <v>   </v>
      </c>
      <c r="L143" s="626" t="str">
        <f>IF(OR(H140=N4,H140="   "),"   ",IF(OR(H143=0,I143=0,K143=0),N4,N3))</f>
        <v>   </v>
      </c>
      <c r="M143" s="104"/>
      <c r="N143" s="33"/>
      <c r="Q143" s="8"/>
      <c r="R143" s="9"/>
      <c r="S143" s="8"/>
      <c r="T143" s="8"/>
      <c r="U143" s="8"/>
      <c r="V143" s="8"/>
      <c r="W143" s="8"/>
      <c r="X143" s="8"/>
      <c r="Y143" s="8"/>
      <c r="Z143" s="8"/>
      <c r="AA143" s="9"/>
      <c r="AB143" s="9"/>
      <c r="AC143" s="9"/>
      <c r="AD143" s="9"/>
      <c r="AE143" s="9"/>
      <c r="AF143" s="9"/>
      <c r="AG143" s="9"/>
      <c r="AH143" s="9"/>
      <c r="AI143" s="9"/>
      <c r="AJ143" s="9"/>
      <c r="AK143" s="9"/>
      <c r="AL143" s="9"/>
      <c r="AM143" s="9"/>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row>
    <row r="144" spans="1:66" s="7" customFormat="1" ht="12.75" customHeight="1">
      <c r="A144" s="36">
        <v>143</v>
      </c>
      <c r="B144" s="857" t="s">
        <v>396</v>
      </c>
      <c r="C144" s="699"/>
      <c r="D144" s="699"/>
      <c r="E144" s="151" t="s">
        <v>169</v>
      </c>
      <c r="F144" s="636" t="s">
        <v>397</v>
      </c>
      <c r="G144" s="632"/>
      <c r="H144" s="1076" t="str">
        <f>IF(H142="   ","   ",(J17+J19)*PI()*J19)</f>
        <v>   </v>
      </c>
      <c r="I144" s="808"/>
      <c r="J144" s="808"/>
      <c r="K144" s="632"/>
      <c r="L144" s="604"/>
      <c r="M144" s="104"/>
      <c r="N144" s="33"/>
      <c r="Q144" s="8"/>
      <c r="R144" s="9"/>
      <c r="S144" s="8"/>
      <c r="T144" s="8"/>
      <c r="U144" s="8"/>
      <c r="V144" s="8"/>
      <c r="W144" s="8"/>
      <c r="X144" s="8"/>
      <c r="Y144" s="8"/>
      <c r="Z144" s="8"/>
      <c r="AA144" s="9"/>
      <c r="AB144" s="9"/>
      <c r="AC144" s="9"/>
      <c r="AD144" s="9"/>
      <c r="AE144" s="9"/>
      <c r="AF144" s="9"/>
      <c r="AG144" s="9"/>
      <c r="AH144" s="9"/>
      <c r="AI144" s="9"/>
      <c r="AJ144" s="9"/>
      <c r="AK144" s="9"/>
      <c r="AL144" s="9"/>
      <c r="AM144" s="9"/>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row>
    <row r="145" spans="1:66" s="7" customFormat="1" ht="12.75" customHeight="1">
      <c r="A145" s="36">
        <v>144</v>
      </c>
      <c r="B145" s="763" t="s">
        <v>171</v>
      </c>
      <c r="C145" s="722"/>
      <c r="D145" s="722"/>
      <c r="E145" s="215" t="s">
        <v>10</v>
      </c>
      <c r="F145" s="652" t="s">
        <v>398</v>
      </c>
      <c r="G145" s="759"/>
      <c r="H145" s="1082" t="str">
        <f>IF(H142="   ","   ",(H78+K80+H90)/H144)</f>
        <v>   </v>
      </c>
      <c r="I145" s="783"/>
      <c r="J145" s="783"/>
      <c r="K145" s="759"/>
      <c r="L145" s="605"/>
      <c r="N145" s="33"/>
      <c r="Q145" s="8"/>
      <c r="R145" s="9"/>
      <c r="S145" s="8"/>
      <c r="T145" s="8"/>
      <c r="U145" s="8"/>
      <c r="V145" s="8"/>
      <c r="W145" s="8"/>
      <c r="X145" s="8"/>
      <c r="Y145" s="8"/>
      <c r="Z145" s="8"/>
      <c r="AA145" s="9"/>
      <c r="AB145" s="9"/>
      <c r="AC145" s="9"/>
      <c r="AD145" s="9"/>
      <c r="AE145" s="9"/>
      <c r="AF145" s="9"/>
      <c r="AG145" s="9"/>
      <c r="AH145" s="9"/>
      <c r="AI145" s="9"/>
      <c r="AJ145" s="9"/>
      <c r="AK145" s="9"/>
      <c r="AL145" s="9"/>
      <c r="AM145" s="9"/>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row>
    <row r="146" spans="1:66" s="7" customFormat="1" ht="12.75" customHeight="1">
      <c r="A146" s="36">
        <v>145</v>
      </c>
      <c r="B146" s="859" t="s">
        <v>74</v>
      </c>
      <c r="C146" s="656"/>
      <c r="D146" s="656"/>
      <c r="E146" s="87" t="s">
        <v>169</v>
      </c>
      <c r="F146" s="648" t="s">
        <v>399</v>
      </c>
      <c r="G146" s="649"/>
      <c r="H146" s="983" t="str">
        <f>IF(H142="   ","   ",IF(F6=N8,0,POWER((J17+2*J19),2)*PI()/4))</f>
        <v>   </v>
      </c>
      <c r="I146" s="738"/>
      <c r="J146" s="660"/>
      <c r="K146" s="649"/>
      <c r="L146" s="73"/>
      <c r="M146" s="104"/>
      <c r="N146" s="33"/>
      <c r="Q146" s="8"/>
      <c r="R146" s="9"/>
      <c r="S146" s="8"/>
      <c r="T146" s="8"/>
      <c r="U146" s="8"/>
      <c r="V146" s="8"/>
      <c r="W146" s="8"/>
      <c r="X146" s="8"/>
      <c r="Y146" s="8"/>
      <c r="Z146" s="8"/>
      <c r="AA146" s="9"/>
      <c r="AB146" s="9"/>
      <c r="AC146" s="9"/>
      <c r="AD146" s="9"/>
      <c r="AE146" s="9"/>
      <c r="AF146" s="9"/>
      <c r="AG146" s="9"/>
      <c r="AH146" s="9"/>
      <c r="AI146" s="9"/>
      <c r="AJ146" s="9"/>
      <c r="AK146" s="9"/>
      <c r="AL146" s="9"/>
      <c r="AM146" s="9"/>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row>
    <row r="147" spans="1:66" s="7" customFormat="1" ht="12.75" customHeight="1">
      <c r="A147" s="36">
        <v>146</v>
      </c>
      <c r="B147" s="859" t="s">
        <v>400</v>
      </c>
      <c r="C147" s="859"/>
      <c r="D147" s="859"/>
      <c r="E147" s="87" t="s">
        <v>8</v>
      </c>
      <c r="F147" s="648" t="s">
        <v>401</v>
      </c>
      <c r="G147" s="649"/>
      <c r="H147" s="250" t="str">
        <f>IF(H142="   ","   ",(K70*H146*H32))</f>
        <v>   </v>
      </c>
      <c r="I147" s="142"/>
      <c r="J147" s="142"/>
      <c r="K147" s="407" t="str">
        <f>IF(H142="   ","   ",(K70*H146*MAX(H92,H93)))</f>
        <v>   </v>
      </c>
      <c r="L147" s="585"/>
      <c r="M147" s="104"/>
      <c r="N147" s="33"/>
      <c r="Q147" s="8"/>
      <c r="R147" s="9"/>
      <c r="S147" s="8"/>
      <c r="T147" s="8"/>
      <c r="U147" s="8"/>
      <c r="V147" s="8"/>
      <c r="W147" s="8"/>
      <c r="X147" s="8"/>
      <c r="Y147" s="8"/>
      <c r="Z147" s="8"/>
      <c r="AA147" s="9"/>
      <c r="AB147" s="9"/>
      <c r="AC147" s="9"/>
      <c r="AD147" s="9"/>
      <c r="AE147" s="9"/>
      <c r="AF147" s="9"/>
      <c r="AG147" s="9"/>
      <c r="AH147" s="9"/>
      <c r="AI147" s="9"/>
      <c r="AJ147" s="9"/>
      <c r="AK147" s="9"/>
      <c r="AL147" s="9"/>
      <c r="AM147" s="9"/>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row>
    <row r="148" spans="1:66" s="7" customFormat="1" ht="12.75" customHeight="1">
      <c r="A148" s="36">
        <v>147</v>
      </c>
      <c r="B148" s="656" t="s">
        <v>403</v>
      </c>
      <c r="C148" s="656"/>
      <c r="D148" s="656"/>
      <c r="E148" s="214" t="s">
        <v>10</v>
      </c>
      <c r="F148" s="661" t="s">
        <v>402</v>
      </c>
      <c r="G148" s="649"/>
      <c r="H148" s="251" t="str">
        <f>IF(H142="   ","   ",H147/H144)</f>
        <v>   </v>
      </c>
      <c r="I148" s="142"/>
      <c r="J148" s="142"/>
      <c r="K148" s="408" t="str">
        <f>IF(H142="   ","   ",K147/H146)</f>
        <v>   </v>
      </c>
      <c r="L148" s="585"/>
      <c r="M148" s="104"/>
      <c r="N148" s="33"/>
      <c r="Q148" s="8"/>
      <c r="R148" s="9"/>
      <c r="S148" s="8"/>
      <c r="T148" s="8"/>
      <c r="U148" s="8"/>
      <c r="V148" s="8"/>
      <c r="W148" s="8"/>
      <c r="X148" s="8"/>
      <c r="Y148" s="8"/>
      <c r="Z148" s="8"/>
      <c r="AA148" s="9"/>
      <c r="AB148" s="9"/>
      <c r="AC148" s="9"/>
      <c r="AD148" s="9"/>
      <c r="AE148" s="9"/>
      <c r="AF148" s="9"/>
      <c r="AG148" s="9"/>
      <c r="AH148" s="9"/>
      <c r="AI148" s="9"/>
      <c r="AJ148" s="9"/>
      <c r="AK148" s="9"/>
      <c r="AL148" s="9"/>
      <c r="AM148" s="9"/>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row>
    <row r="149" spans="1:66" s="7" customFormat="1" ht="12.75" customHeight="1">
      <c r="A149" s="36">
        <v>148</v>
      </c>
      <c r="B149" s="860" t="s">
        <v>404</v>
      </c>
      <c r="C149" s="861"/>
      <c r="D149" s="862"/>
      <c r="E149" s="245" t="s">
        <v>10</v>
      </c>
      <c r="F149" s="639" t="s">
        <v>405</v>
      </c>
      <c r="G149" s="640"/>
      <c r="H149" s="650" t="str">
        <f>IF(H142="   ","   ",H145+H148+K148)</f>
        <v>   </v>
      </c>
      <c r="I149" s="642"/>
      <c r="J149" s="642"/>
      <c r="K149" s="643"/>
      <c r="L149" s="606"/>
      <c r="M149" s="104"/>
      <c r="N149" s="33"/>
      <c r="Q149" s="8"/>
      <c r="R149" s="9"/>
      <c r="S149" s="8"/>
      <c r="T149" s="8"/>
      <c r="U149" s="8"/>
      <c r="V149" s="8"/>
      <c r="W149" s="8"/>
      <c r="X149" s="8"/>
      <c r="Y149" s="8"/>
      <c r="Z149" s="8"/>
      <c r="AA149" s="9"/>
      <c r="AB149" s="9"/>
      <c r="AC149" s="9"/>
      <c r="AD149" s="9"/>
      <c r="AE149" s="9"/>
      <c r="AF149" s="9"/>
      <c r="AG149" s="9"/>
      <c r="AH149" s="9"/>
      <c r="AI149" s="9"/>
      <c r="AJ149" s="9"/>
      <c r="AK149" s="9"/>
      <c r="AL149" s="9"/>
      <c r="AM149" s="9"/>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row>
    <row r="150" spans="1:66" s="7" customFormat="1" ht="12.75" customHeight="1">
      <c r="A150" s="36">
        <v>149</v>
      </c>
      <c r="B150" s="134"/>
      <c r="C150" s="334"/>
      <c r="D150" s="334"/>
      <c r="E150" s="1"/>
      <c r="F150" s="74"/>
      <c r="G150" s="373"/>
      <c r="H150" s="237"/>
      <c r="I150" s="325"/>
      <c r="J150" s="325"/>
      <c r="K150" s="325"/>
      <c r="L150" s="26"/>
      <c r="M150" s="104"/>
      <c r="N150" s="33"/>
      <c r="Q150" s="8"/>
      <c r="R150" s="9"/>
      <c r="S150" s="8"/>
      <c r="T150" s="8"/>
      <c r="U150" s="8"/>
      <c r="V150" s="8"/>
      <c r="W150" s="8"/>
      <c r="X150" s="8"/>
      <c r="Y150" s="8"/>
      <c r="Z150" s="8"/>
      <c r="AA150" s="9"/>
      <c r="AB150" s="9"/>
      <c r="AC150" s="9"/>
      <c r="AD150" s="9"/>
      <c r="AE150" s="9"/>
      <c r="AF150" s="9"/>
      <c r="AG150" s="9"/>
      <c r="AH150" s="9"/>
      <c r="AI150" s="9"/>
      <c r="AJ150" s="9"/>
      <c r="AK150" s="9"/>
      <c r="AL150" s="9"/>
      <c r="AM150" s="9"/>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row>
    <row r="151" spans="1:66" s="7" customFormat="1" ht="49.5" customHeight="1">
      <c r="A151" s="330">
        <v>150</v>
      </c>
      <c r="B151" s="327"/>
      <c r="C151" s="409"/>
      <c r="D151" s="409"/>
      <c r="E151" s="328"/>
      <c r="F151" s="329"/>
      <c r="G151" s="410"/>
      <c r="H151" s="246"/>
      <c r="I151" s="411"/>
      <c r="J151" s="411"/>
      <c r="K151" s="411"/>
      <c r="L151" s="247" t="s">
        <v>193</v>
      </c>
      <c r="M151" s="104"/>
      <c r="N151" s="33"/>
      <c r="Q151" s="8"/>
      <c r="R151" s="9"/>
      <c r="S151" s="8"/>
      <c r="T151" s="8"/>
      <c r="U151" s="8"/>
      <c r="V151" s="8"/>
      <c r="W151" s="8"/>
      <c r="X151" s="8"/>
      <c r="Y151" s="8"/>
      <c r="Z151" s="8"/>
      <c r="AA151" s="9"/>
      <c r="AB151" s="9"/>
      <c r="AC151" s="9"/>
      <c r="AD151" s="9"/>
      <c r="AE151" s="9"/>
      <c r="AF151" s="9"/>
      <c r="AG151" s="9"/>
      <c r="AH151" s="9"/>
      <c r="AI151" s="9"/>
      <c r="AJ151" s="9"/>
      <c r="AK151" s="9"/>
      <c r="AL151" s="9"/>
      <c r="AM151" s="9"/>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row>
    <row r="152" spans="1:66" s="7" customFormat="1" ht="18" customHeight="1">
      <c r="A152" s="35">
        <v>151</v>
      </c>
      <c r="B152" s="24" t="s">
        <v>5</v>
      </c>
      <c r="C152" s="24"/>
      <c r="D152" s="25"/>
      <c r="E152" s="28" t="s">
        <v>2</v>
      </c>
      <c r="F152" s="991" t="s">
        <v>41</v>
      </c>
      <c r="G152" s="992"/>
      <c r="H152" s="1068" t="s">
        <v>40</v>
      </c>
      <c r="I152" s="1069"/>
      <c r="J152" s="1069"/>
      <c r="K152" s="992"/>
      <c r="L152" s="118" t="s">
        <v>34</v>
      </c>
      <c r="M152" s="104"/>
      <c r="N152" s="33"/>
      <c r="Q152" s="8"/>
      <c r="R152" s="9"/>
      <c r="S152" s="8"/>
      <c r="T152" s="8"/>
      <c r="U152" s="8"/>
      <c r="V152" s="8"/>
      <c r="W152" s="8"/>
      <c r="X152" s="8"/>
      <c r="Y152" s="8"/>
      <c r="Z152" s="8"/>
      <c r="AA152" s="9"/>
      <c r="AB152" s="9"/>
      <c r="AC152" s="9"/>
      <c r="AD152" s="9"/>
      <c r="AE152" s="9"/>
      <c r="AF152" s="9"/>
      <c r="AG152" s="9"/>
      <c r="AH152" s="9"/>
      <c r="AI152" s="9"/>
      <c r="AJ152" s="9"/>
      <c r="AK152" s="9"/>
      <c r="AL152" s="9"/>
      <c r="AM152" s="9"/>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row>
    <row r="153" spans="1:66" s="7" customFormat="1" ht="13.5" customHeight="1">
      <c r="A153" s="36">
        <v>152</v>
      </c>
      <c r="B153" s="993" t="s">
        <v>406</v>
      </c>
      <c r="C153" s="994"/>
      <c r="D153" s="994"/>
      <c r="E153" s="709"/>
      <c r="F153" s="709"/>
      <c r="G153" s="709"/>
      <c r="H153" s="995"/>
      <c r="I153" s="995"/>
      <c r="J153" s="995"/>
      <c r="K153" s="995"/>
      <c r="L153" s="154"/>
      <c r="M153" s="104"/>
      <c r="N153" s="33"/>
      <c r="Q153" s="8"/>
      <c r="R153" s="9"/>
      <c r="S153" s="8"/>
      <c r="T153" s="8"/>
      <c r="U153" s="8"/>
      <c r="V153" s="8"/>
      <c r="W153" s="8"/>
      <c r="X153" s="8"/>
      <c r="Y153" s="8"/>
      <c r="Z153" s="8"/>
      <c r="AA153" s="9"/>
      <c r="AB153" s="9"/>
      <c r="AC153" s="9"/>
      <c r="AD153" s="9"/>
      <c r="AE153" s="9"/>
      <c r="AF153" s="9"/>
      <c r="AG153" s="9"/>
      <c r="AH153" s="9"/>
      <c r="AI153" s="9"/>
      <c r="AJ153" s="9"/>
      <c r="AK153" s="9"/>
      <c r="AL153" s="9"/>
      <c r="AM153" s="9"/>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row>
    <row r="154" spans="1:66" s="7" customFormat="1" ht="12.75" customHeight="1">
      <c r="A154" s="36">
        <v>153</v>
      </c>
      <c r="B154" s="727" t="s">
        <v>407</v>
      </c>
      <c r="C154" s="978"/>
      <c r="D154" s="978"/>
      <c r="E154" s="204" t="s">
        <v>166</v>
      </c>
      <c r="F154" s="648" t="s">
        <v>408</v>
      </c>
      <c r="G154" s="649"/>
      <c r="H154" s="644" t="str">
        <f>IF(H142="   ","   ",IF(OR(H35=N36,H35=N37),MAX($H$70*$H$145+$K$70*(MAX(H148,K148)+0.7*$K$148+H88/1.2),$H$70*$H$145+$K$70*(H148+J89)),0))</f>
        <v>   </v>
      </c>
      <c r="I154" s="645"/>
      <c r="J154" s="645"/>
      <c r="K154" s="646"/>
      <c r="L154" s="585"/>
      <c r="M154" s="104"/>
      <c r="N154" s="33"/>
      <c r="Q154" s="8"/>
      <c r="R154" s="9"/>
      <c r="S154" s="8"/>
      <c r="T154" s="8"/>
      <c r="U154" s="8"/>
      <c r="V154" s="8"/>
      <c r="W154" s="8"/>
      <c r="X154" s="8"/>
      <c r="Y154" s="8"/>
      <c r="Z154" s="8"/>
      <c r="AA154" s="9"/>
      <c r="AB154" s="9"/>
      <c r="AC154" s="9"/>
      <c r="AD154" s="9"/>
      <c r="AE154" s="9"/>
      <c r="AF154" s="9"/>
      <c r="AG154" s="9"/>
      <c r="AH154" s="9"/>
      <c r="AI154" s="9"/>
      <c r="AJ154" s="9"/>
      <c r="AK154" s="9"/>
      <c r="AL154" s="9"/>
      <c r="AM154" s="9"/>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row>
    <row r="155" spans="1:66" s="7" customFormat="1" ht="12.75" customHeight="1">
      <c r="A155" s="36">
        <v>154</v>
      </c>
      <c r="B155" s="727" t="s">
        <v>409</v>
      </c>
      <c r="C155" s="978"/>
      <c r="D155" s="978"/>
      <c r="E155" s="204" t="s">
        <v>166</v>
      </c>
      <c r="F155" s="648" t="s">
        <v>410</v>
      </c>
      <c r="G155" s="649"/>
      <c r="H155" s="979" t="str">
        <f>IF(H142="   ","   ",IF(H35=N38,$H$70*H145+$K$70*MAX(H148,K148),0))</f>
        <v>   </v>
      </c>
      <c r="I155" s="980"/>
      <c r="J155" s="980"/>
      <c r="K155" s="981"/>
      <c r="L155" s="170"/>
      <c r="N155" s="33"/>
      <c r="Q155" s="8"/>
      <c r="R155" s="9"/>
      <c r="S155" s="8"/>
      <c r="T155" s="8"/>
      <c r="U155" s="8"/>
      <c r="V155" s="8"/>
      <c r="W155" s="8"/>
      <c r="X155" s="8"/>
      <c r="Y155" s="8"/>
      <c r="Z155" s="8"/>
      <c r="AA155" s="9"/>
      <c r="AB155" s="9"/>
      <c r="AC155" s="9"/>
      <c r="AD155" s="9"/>
      <c r="AE155" s="9"/>
      <c r="AF155" s="9"/>
      <c r="AG155" s="9"/>
      <c r="AH155" s="9"/>
      <c r="AI155" s="9"/>
      <c r="AJ155" s="9"/>
      <c r="AK155" s="9"/>
      <c r="AL155" s="9"/>
      <c r="AM155" s="9"/>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row>
    <row r="156" spans="1:66" s="7" customFormat="1" ht="12.75" customHeight="1">
      <c r="A156" s="36">
        <v>155</v>
      </c>
      <c r="B156" s="859" t="s">
        <v>493</v>
      </c>
      <c r="C156" s="656"/>
      <c r="D156" s="656"/>
      <c r="E156" s="202" t="s">
        <v>55</v>
      </c>
      <c r="F156" s="651" t="s">
        <v>411</v>
      </c>
      <c r="G156" s="649"/>
      <c r="H156" s="803" t="str">
        <f>IF(H142="   ","   ",0.7/SQRT(($H$142/$J$142)*(1+0.5*J17/(100*J19))))</f>
        <v>   </v>
      </c>
      <c r="I156" s="660"/>
      <c r="J156" s="660"/>
      <c r="K156" s="649"/>
      <c r="L156" s="585"/>
      <c r="M156" s="104"/>
      <c r="N156" s="33"/>
      <c r="Q156" s="8"/>
      <c r="R156" s="9"/>
      <c r="S156" s="8"/>
      <c r="T156" s="8"/>
      <c r="U156" s="8"/>
      <c r="V156" s="8"/>
      <c r="W156" s="8"/>
      <c r="X156" s="8"/>
      <c r="Y156" s="8"/>
      <c r="Z156" s="8"/>
      <c r="AA156" s="9"/>
      <c r="AB156" s="9"/>
      <c r="AC156" s="9"/>
      <c r="AD156" s="9"/>
      <c r="AE156" s="9"/>
      <c r="AF156" s="9"/>
      <c r="AG156" s="9"/>
      <c r="AH156" s="9"/>
      <c r="AI156" s="9"/>
      <c r="AJ156" s="9"/>
      <c r="AK156" s="9"/>
      <c r="AL156" s="9"/>
      <c r="AM156" s="9"/>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row>
    <row r="157" spans="1:66" s="7" customFormat="1" ht="12.75" customHeight="1">
      <c r="A157" s="36">
        <v>156</v>
      </c>
      <c r="B157" s="38" t="s">
        <v>37</v>
      </c>
      <c r="C157" s="21"/>
      <c r="D157" s="21"/>
      <c r="E157" s="204" t="s">
        <v>166</v>
      </c>
      <c r="F157" s="648" t="s">
        <v>412</v>
      </c>
      <c r="G157" s="649"/>
      <c r="H157" s="559" t="str">
        <f>IF(H142="   ","   ",H156*0.62*1*($I$143/H56)*J19/(0.5*J17))</f>
        <v>   </v>
      </c>
      <c r="I157" s="982" t="str">
        <f>IF(H142="   ","   ",IF(H157&lt;=K157,"&lt;","&gt;"))</f>
        <v>   </v>
      </c>
      <c r="J157" s="982"/>
      <c r="K157" s="560" t="str">
        <f>IF(H142="   ","   ",H67)</f>
        <v>   </v>
      </c>
      <c r="L157" s="198"/>
      <c r="M157" s="104"/>
      <c r="N157" s="33"/>
      <c r="Q157" s="8"/>
      <c r="R157" s="9"/>
      <c r="S157" s="8"/>
      <c r="T157" s="8"/>
      <c r="U157" s="8"/>
      <c r="V157" s="8"/>
      <c r="W157" s="8"/>
      <c r="X157" s="8"/>
      <c r="Y157" s="8"/>
      <c r="Z157" s="8"/>
      <c r="AA157" s="9"/>
      <c r="AB157" s="9"/>
      <c r="AC157" s="9"/>
      <c r="AD157" s="9"/>
      <c r="AE157" s="9"/>
      <c r="AF157" s="9"/>
      <c r="AG157" s="9"/>
      <c r="AH157" s="9"/>
      <c r="AI157" s="9"/>
      <c r="AJ157" s="9"/>
      <c r="AK157" s="9"/>
      <c r="AL157" s="9"/>
      <c r="AM157" s="9"/>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row>
    <row r="158" spans="1:66" s="7" customFormat="1" ht="12.75" customHeight="1">
      <c r="A158" s="36">
        <v>157</v>
      </c>
      <c r="B158" s="859" t="s">
        <v>243</v>
      </c>
      <c r="C158" s="656"/>
      <c r="D158" s="696"/>
      <c r="E158" s="202" t="s">
        <v>55</v>
      </c>
      <c r="F158" s="651" t="s">
        <v>413</v>
      </c>
      <c r="G158" s="649"/>
      <c r="H158" s="986" t="str">
        <f>IF(H142="   ","   ",H42*$H$69*MAX(H154,H155)/MIN(H157,K157))</f>
        <v>   </v>
      </c>
      <c r="I158" s="987"/>
      <c r="J158" s="987"/>
      <c r="K158" s="988"/>
      <c r="L158" s="607"/>
      <c r="M158" s="104"/>
      <c r="N158" s="33"/>
      <c r="Q158" s="8"/>
      <c r="R158" s="9"/>
      <c r="S158" s="8"/>
      <c r="T158" s="8"/>
      <c r="U158" s="8"/>
      <c r="V158" s="8"/>
      <c r="W158" s="8"/>
      <c r="X158" s="8"/>
      <c r="Y158" s="8"/>
      <c r="Z158" s="8"/>
      <c r="AA158" s="9"/>
      <c r="AB158" s="9"/>
      <c r="AC158" s="9"/>
      <c r="AD158" s="9"/>
      <c r="AE158" s="9"/>
      <c r="AF158" s="9"/>
      <c r="AG158" s="9"/>
      <c r="AH158" s="9"/>
      <c r="AI158" s="9"/>
      <c r="AJ158" s="9"/>
      <c r="AK158" s="9"/>
      <c r="AL158" s="9"/>
      <c r="AM158" s="9"/>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row>
    <row r="159" spans="1:66" s="7" customFormat="1" ht="12.75" customHeight="1">
      <c r="A159" s="36">
        <v>158</v>
      </c>
      <c r="B159" s="300"/>
      <c r="C159" s="61"/>
      <c r="D159" s="61"/>
      <c r="E159" s="61"/>
      <c r="F159" s="704" t="s">
        <v>170</v>
      </c>
      <c r="G159" s="705"/>
      <c r="H159" s="855" t="str">
        <f>IF(H142="   ","   ",IF(AND(H158&gt;0,H158&lt;=1),N3,N4))</f>
        <v>   </v>
      </c>
      <c r="I159" s="855"/>
      <c r="J159" s="1066"/>
      <c r="K159" s="1066"/>
      <c r="L159" s="307"/>
      <c r="M159" s="104"/>
      <c r="N159" s="33"/>
      <c r="Q159" s="8"/>
      <c r="R159" s="9"/>
      <c r="S159" s="8"/>
      <c r="T159" s="8"/>
      <c r="U159" s="8"/>
      <c r="V159" s="8"/>
      <c r="W159" s="8"/>
      <c r="X159" s="8"/>
      <c r="Y159" s="8"/>
      <c r="Z159" s="8"/>
      <c r="AA159" s="9"/>
      <c r="AB159" s="9"/>
      <c r="AC159" s="9"/>
      <c r="AD159" s="9"/>
      <c r="AE159" s="9"/>
      <c r="AF159" s="9"/>
      <c r="AG159" s="9"/>
      <c r="AH159" s="9"/>
      <c r="AI159" s="9"/>
      <c r="AJ159" s="9"/>
      <c r="AK159" s="9"/>
      <c r="AL159" s="9"/>
      <c r="AM159" s="9"/>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row>
    <row r="160" spans="1:66" s="7" customFormat="1" ht="15" customHeight="1">
      <c r="A160" s="36">
        <v>159</v>
      </c>
      <c r="B160" s="989" t="s">
        <v>237</v>
      </c>
      <c r="C160" s="990"/>
      <c r="D160" s="990"/>
      <c r="E160" s="702"/>
      <c r="F160" s="702"/>
      <c r="G160" s="702"/>
      <c r="H160" s="702"/>
      <c r="I160" s="702"/>
      <c r="J160" s="702"/>
      <c r="K160" s="702"/>
      <c r="L160" s="703"/>
      <c r="M160" s="104"/>
      <c r="N160" s="33"/>
      <c r="Q160" s="8"/>
      <c r="R160" s="9"/>
      <c r="S160" s="8"/>
      <c r="T160" s="8"/>
      <c r="U160" s="8"/>
      <c r="V160" s="8"/>
      <c r="W160" s="8"/>
      <c r="X160" s="8"/>
      <c r="Y160" s="8"/>
      <c r="Z160" s="8"/>
      <c r="AA160" s="9"/>
      <c r="AB160" s="9"/>
      <c r="AC160" s="9"/>
      <c r="AD160" s="9"/>
      <c r="AE160" s="9"/>
      <c r="AF160" s="9"/>
      <c r="AG160" s="9"/>
      <c r="AH160" s="9"/>
      <c r="AI160" s="9"/>
      <c r="AJ160" s="9"/>
      <c r="AK160" s="9"/>
      <c r="AL160" s="9"/>
      <c r="AM160" s="9"/>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row>
    <row r="161" spans="1:66" s="7" customFormat="1" ht="12.75" customHeight="1">
      <c r="A161" s="36">
        <v>160</v>
      </c>
      <c r="B161" s="857" t="s">
        <v>414</v>
      </c>
      <c r="C161" s="699"/>
      <c r="D161" s="706"/>
      <c r="E161" s="70" t="s">
        <v>10</v>
      </c>
      <c r="F161" s="774" t="s">
        <v>415</v>
      </c>
      <c r="G161" s="808"/>
      <c r="H161" s="985" t="str">
        <f>IF(H142="   ","   ",IF(H35=N38,K70*(H32+H93),0))</f>
        <v>   </v>
      </c>
      <c r="I161" s="808"/>
      <c r="J161" s="984" t="str">
        <f>IF(H142="   ","   ",IF(OR(H35=N36,H35=N37),K70*(H32+H92+H93),0))</f>
        <v>   </v>
      </c>
      <c r="K161" s="632"/>
      <c r="L161" s="608"/>
      <c r="N161" s="33"/>
      <c r="Q161" s="8"/>
      <c r="R161" s="9"/>
      <c r="S161" s="8"/>
      <c r="T161" s="8"/>
      <c r="U161" s="8"/>
      <c r="V161" s="8"/>
      <c r="W161" s="8"/>
      <c r="X161" s="8"/>
      <c r="Y161" s="8"/>
      <c r="Z161" s="8"/>
      <c r="AA161" s="9"/>
      <c r="AB161" s="9"/>
      <c r="AC161" s="9"/>
      <c r="AD161" s="9"/>
      <c r="AE161" s="9"/>
      <c r="AF161" s="9"/>
      <c r="AG161" s="9"/>
      <c r="AH161" s="9"/>
      <c r="AI161" s="9"/>
      <c r="AJ161" s="9"/>
      <c r="AK161" s="9"/>
      <c r="AL161" s="9"/>
      <c r="AM161" s="9"/>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row>
    <row r="162" spans="1:66" s="7" customFormat="1" ht="13.5" customHeight="1">
      <c r="A162" s="36">
        <v>161</v>
      </c>
      <c r="B162" s="859" t="s">
        <v>90</v>
      </c>
      <c r="C162" s="656"/>
      <c r="D162" s="656"/>
      <c r="E162" s="214" t="s">
        <v>10</v>
      </c>
      <c r="F162" s="648" t="s">
        <v>416</v>
      </c>
      <c r="G162" s="660"/>
      <c r="H162" s="1067" t="str">
        <f>IF(H142="   ","   ",0.67*1*($I$143/$H$56)*((0.5*J17)/J14)*POWER(J19*2/J17,2.5))</f>
        <v>   </v>
      </c>
      <c r="I162" s="656"/>
      <c r="J162" s="656"/>
      <c r="K162" s="696"/>
      <c r="L162" s="170"/>
      <c r="M162" s="104"/>
      <c r="N162" s="33"/>
      <c r="Q162" s="8"/>
      <c r="R162" s="9"/>
      <c r="S162" s="8"/>
      <c r="T162" s="8"/>
      <c r="U162" s="8"/>
      <c r="V162" s="8"/>
      <c r="W162" s="8"/>
      <c r="X162" s="8"/>
      <c r="Y162" s="8"/>
      <c r="Z162" s="8"/>
      <c r="AA162" s="9"/>
      <c r="AB162" s="9"/>
      <c r="AC162" s="9"/>
      <c r="AD162" s="9"/>
      <c r="AE162" s="9"/>
      <c r="AF162" s="9"/>
      <c r="AG162" s="9"/>
      <c r="AH162" s="9"/>
      <c r="AI162" s="9"/>
      <c r="AJ162" s="9"/>
      <c r="AK162" s="9"/>
      <c r="AL162" s="9"/>
      <c r="AM162" s="9"/>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row>
    <row r="163" spans="1:66" s="7" customFormat="1" ht="13.5" customHeight="1">
      <c r="A163" s="36">
        <v>162</v>
      </c>
      <c r="B163" s="859" t="s">
        <v>92</v>
      </c>
      <c r="C163" s="656"/>
      <c r="D163" s="656"/>
      <c r="E163" s="413" t="s">
        <v>55</v>
      </c>
      <c r="F163" s="961" t="s">
        <v>417</v>
      </c>
      <c r="G163" s="660"/>
      <c r="H163" s="1083" t="str">
        <f>IF(H142="   ","   ",H42*$H$69*MAX(H161,J161)/H162)</f>
        <v>   </v>
      </c>
      <c r="I163" s="749"/>
      <c r="J163" s="749"/>
      <c r="K163" s="1084"/>
      <c r="L163" s="609"/>
      <c r="M163" s="104"/>
      <c r="N163" s="33"/>
      <c r="Q163" s="8"/>
      <c r="R163" s="9"/>
      <c r="S163" s="8"/>
      <c r="T163" s="8"/>
      <c r="U163" s="8"/>
      <c r="V163" s="8"/>
      <c r="W163" s="8"/>
      <c r="X163" s="8"/>
      <c r="Y163" s="8"/>
      <c r="Z163" s="8"/>
      <c r="AA163" s="9"/>
      <c r="AB163" s="9"/>
      <c r="AC163" s="9"/>
      <c r="AD163" s="9"/>
      <c r="AE163" s="9"/>
      <c r="AF163" s="9"/>
      <c r="AG163" s="9"/>
      <c r="AH163" s="9"/>
      <c r="AI163" s="9"/>
      <c r="AJ163" s="9"/>
      <c r="AK163" s="9"/>
      <c r="AL163" s="9"/>
      <c r="AM163" s="9"/>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row>
    <row r="164" spans="1:66" s="7" customFormat="1" ht="12.75" customHeight="1">
      <c r="A164" s="36">
        <v>163</v>
      </c>
      <c r="B164" s="907" t="s">
        <v>418</v>
      </c>
      <c r="C164" s="656"/>
      <c r="D164" s="656"/>
      <c r="E164" s="975" t="s">
        <v>55</v>
      </c>
      <c r="F164" s="961" t="s">
        <v>419</v>
      </c>
      <c r="G164" s="656"/>
      <c r="H164" s="1083" t="str">
        <f>IF(H142="   ","   ",POWER(H158,1.25)+POWER(H163,1.25))</f>
        <v>   </v>
      </c>
      <c r="I164" s="749"/>
      <c r="J164" s="749"/>
      <c r="K164" s="1084"/>
      <c r="L164" s="73"/>
      <c r="M164" s="104"/>
      <c r="N164" s="33"/>
      <c r="Q164" s="8"/>
      <c r="R164" s="9"/>
      <c r="S164" s="8"/>
      <c r="T164" s="8"/>
      <c r="U164" s="8"/>
      <c r="V164" s="8"/>
      <c r="W164" s="8"/>
      <c r="X164" s="8"/>
      <c r="Y164" s="8"/>
      <c r="Z164" s="8"/>
      <c r="AA164" s="9"/>
      <c r="AB164" s="9"/>
      <c r="AC164" s="9"/>
      <c r="AD164" s="9"/>
      <c r="AE164" s="9"/>
      <c r="AF164" s="9"/>
      <c r="AG164" s="9"/>
      <c r="AH164" s="9"/>
      <c r="AI164" s="9"/>
      <c r="AJ164" s="9"/>
      <c r="AK164" s="9"/>
      <c r="AL164" s="9"/>
      <c r="AM164" s="9"/>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row>
    <row r="165" spans="1:66" s="7" customFormat="1" ht="12">
      <c r="A165" s="36">
        <v>164</v>
      </c>
      <c r="B165" s="656" t="s">
        <v>91</v>
      </c>
      <c r="C165" s="656"/>
      <c r="D165" s="656"/>
      <c r="E165" s="976"/>
      <c r="F165" s="656"/>
      <c r="G165" s="656"/>
      <c r="H165" s="1085"/>
      <c r="I165" s="749"/>
      <c r="J165" s="749"/>
      <c r="K165" s="1084"/>
      <c r="L165" s="73"/>
      <c r="M165" s="104"/>
      <c r="N165" s="33"/>
      <c r="Q165" s="8"/>
      <c r="R165" s="9"/>
      <c r="S165" s="8"/>
      <c r="T165" s="8"/>
      <c r="U165" s="8"/>
      <c r="V165" s="8"/>
      <c r="W165" s="8"/>
      <c r="X165" s="8"/>
      <c r="Y165" s="8"/>
      <c r="Z165" s="8"/>
      <c r="AA165" s="9"/>
      <c r="AB165" s="9"/>
      <c r="AC165" s="9"/>
      <c r="AD165" s="9"/>
      <c r="AE165" s="9"/>
      <c r="AF165" s="9"/>
      <c r="AG165" s="9"/>
      <c r="AH165" s="9"/>
      <c r="AI165" s="9"/>
      <c r="AJ165" s="9"/>
      <c r="AK165" s="9"/>
      <c r="AL165" s="9"/>
      <c r="AM165" s="9"/>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row>
    <row r="166" spans="1:66" s="7" customFormat="1" ht="12">
      <c r="A166" s="36">
        <v>165</v>
      </c>
      <c r="B166" s="300"/>
      <c r="C166" s="61"/>
      <c r="D166" s="61"/>
      <c r="E166" s="61"/>
      <c r="F166" s="704" t="s">
        <v>170</v>
      </c>
      <c r="G166" s="705"/>
      <c r="H166" s="855" t="str">
        <f>IF(H142="   ","   ",IF(AND(H163&gt;0,H163&lt;=1,H164&gt;0,H164&lt;=1),N3,N4))</f>
        <v>   </v>
      </c>
      <c r="I166" s="855"/>
      <c r="J166" s="1066"/>
      <c r="K166" s="1066"/>
      <c r="L166" s="85"/>
      <c r="M166" s="104"/>
      <c r="N166" s="33"/>
      <c r="Q166" s="8"/>
      <c r="R166" s="9"/>
      <c r="S166" s="8"/>
      <c r="T166" s="8"/>
      <c r="U166" s="8"/>
      <c r="V166" s="8"/>
      <c r="W166" s="8"/>
      <c r="X166" s="8"/>
      <c r="Y166" s="8"/>
      <c r="Z166" s="8"/>
      <c r="AA166" s="9"/>
      <c r="AB166" s="9"/>
      <c r="AC166" s="9"/>
      <c r="AD166" s="9"/>
      <c r="AE166" s="9"/>
      <c r="AF166" s="9"/>
      <c r="AG166" s="9"/>
      <c r="AH166" s="9"/>
      <c r="AI166" s="9"/>
      <c r="AJ166" s="9"/>
      <c r="AK166" s="9"/>
      <c r="AL166" s="9"/>
      <c r="AM166" s="9"/>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row>
    <row r="167" spans="1:66" s="7" customFormat="1" ht="12.75">
      <c r="A167" s="36">
        <v>166</v>
      </c>
      <c r="B167" s="2" t="s">
        <v>93</v>
      </c>
      <c r="C167" s="21"/>
      <c r="D167" s="21"/>
      <c r="E167" s="21"/>
      <c r="F167" s="977" t="s">
        <v>123</v>
      </c>
      <c r="G167" s="761"/>
      <c r="H167" s="523" t="s">
        <v>420</v>
      </c>
      <c r="I167" s="661" t="s">
        <v>421</v>
      </c>
      <c r="J167" s="656"/>
      <c r="K167" s="523" t="s">
        <v>422</v>
      </c>
      <c r="L167" s="414"/>
      <c r="M167" s="104"/>
      <c r="N167" s="33"/>
      <c r="Q167" s="8"/>
      <c r="R167" s="9"/>
      <c r="S167" s="8"/>
      <c r="T167" s="8"/>
      <c r="U167" s="8"/>
      <c r="V167" s="8"/>
      <c r="W167" s="8"/>
      <c r="X167" s="8"/>
      <c r="Y167" s="8"/>
      <c r="Z167" s="8"/>
      <c r="AA167" s="9"/>
      <c r="AB167" s="9"/>
      <c r="AC167" s="9"/>
      <c r="AD167" s="9"/>
      <c r="AE167" s="9"/>
      <c r="AF167" s="9"/>
      <c r="AG167" s="9"/>
      <c r="AH167" s="9"/>
      <c r="AI167" s="9"/>
      <c r="AJ167" s="9"/>
      <c r="AK167" s="9"/>
      <c r="AL167" s="9"/>
      <c r="AM167" s="9"/>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row>
    <row r="168" spans="1:14" ht="13.5" customHeight="1">
      <c r="A168" s="36">
        <v>167</v>
      </c>
      <c r="B168" s="641" t="s">
        <v>257</v>
      </c>
      <c r="C168" s="1061"/>
      <c r="D168" s="1061"/>
      <c r="E168" s="158" t="s">
        <v>124</v>
      </c>
      <c r="F168" s="973" t="str">
        <f>H50</f>
        <v>   </v>
      </c>
      <c r="G168" s="974"/>
      <c r="H168" s="216" t="str">
        <f>IF(H142="   ","   ",IF(NOT(H35=N38),0,MAX($H$70*H79+$K$70*H32,H70*H79+K70*H93)))</f>
        <v>   </v>
      </c>
      <c r="I168" s="1062" t="str">
        <f>IF(H142="   ","   ",IF(NOT(H35=N38),0,(H168/(4*COS(2*PI()*(90-J15)/360)))*(J17/J20)))</f>
        <v>   </v>
      </c>
      <c r="J168" s="1063"/>
      <c r="K168" s="217" t="str">
        <f>IF(H142="   ","   ",IF(NOT(H35=N38),0,2.68*(VLOOKUP(H8,'D1'!A96:'D1'!EV109,L50,0)/$H$56)*SIN(2*PI()*(90-J15)/360)*SQRT(COS(2*PI()*(90-J15)/360))*POWER(J20/J17,1.5)))</f>
        <v>   </v>
      </c>
      <c r="L168" s="155"/>
      <c r="N168" s="33"/>
    </row>
    <row r="169" spans="1:14" ht="13.5" customHeight="1">
      <c r="A169" s="36">
        <v>168</v>
      </c>
      <c r="B169" s="656" t="s">
        <v>258</v>
      </c>
      <c r="C169" s="852"/>
      <c r="D169" s="852"/>
      <c r="E169" s="159" t="s">
        <v>124</v>
      </c>
      <c r="F169" s="1064">
        <v>0</v>
      </c>
      <c r="G169" s="1065"/>
      <c r="H169" s="218" t="str">
        <f>IF(H142="   ","   ",IF(OR($H$35=$N$38,H35=N37),0,MAX($H$70*$H$79+$K$70*(J89+H32),H70*H79+K70*(0.7*J89+H93))))</f>
        <v>   </v>
      </c>
      <c r="I169" s="1080" t="str">
        <f>IF(H142="   ","   ",IF(OR($H$35=$N$38,H35=N37),0,(H169/(4*COS(2*PI()*(90-J15)/360)))*(J17/J20)))</f>
        <v>   </v>
      </c>
      <c r="J169" s="1081"/>
      <c r="K169" s="219" t="str">
        <f>IF(H142="   ","   ",IF(OR($H$35=$N$38,H35=N37),0,2.68*(VLOOKUP(H8,'D1'!A96:'D1'!EV109,L52,0)/$H$56)*SIN(2*PI()*(90-J15)/360)*SQRT(COS(2*PI()*(90-J15)/360))*POWER(J20/J17,1.5)))</f>
        <v>   </v>
      </c>
      <c r="L169" s="60"/>
      <c r="N169" s="34"/>
    </row>
    <row r="170" spans="1:14" ht="13.5" customHeight="1">
      <c r="A170" s="36">
        <v>169</v>
      </c>
      <c r="B170" s="656" t="s">
        <v>259</v>
      </c>
      <c r="C170" s="852"/>
      <c r="D170" s="852"/>
      <c r="E170" s="159" t="s">
        <v>124</v>
      </c>
      <c r="F170" s="1064">
        <v>50</v>
      </c>
      <c r="G170" s="1065"/>
      <c r="H170" s="218" t="str">
        <f>IF(H142="   ","   ",IF(OR(H35=N36,H35=N37),MAX($H$70*$H$79+$K$70*H32,H70*H79+K70*H93),0))</f>
        <v>   </v>
      </c>
      <c r="I170" s="1080" t="str">
        <f>IF(H142="   ","   ",IF(OR(H35=N36,H35=N37),(H170/(4*COS(2*PI()*(90-J15)/360)))*(J17/J20),0))</f>
        <v>   </v>
      </c>
      <c r="J170" s="1081"/>
      <c r="K170" s="219" t="str">
        <f>IF(H142="   ","   ",IF(OR(H35=N36,H35=N37),2.68*(VLOOKUP(H8,'D1'!A96:'D1'!EV109,62,0)/$H$56)*SIN(2*PI()*(90-J15)/360)*SQRT(COS(2*PI()*(90-J15)/360))*POWER(J20/J17,1.5),0))</f>
        <v>   </v>
      </c>
      <c r="L170" s="60"/>
      <c r="N170" s="33"/>
    </row>
    <row r="171" spans="1:14" ht="13.5" customHeight="1">
      <c r="A171" s="36">
        <v>170</v>
      </c>
      <c r="B171" s="561" t="s">
        <v>160</v>
      </c>
      <c r="C171" s="561"/>
      <c r="D171" s="561"/>
      <c r="E171" s="629" t="s">
        <v>55</v>
      </c>
      <c r="F171" s="652" t="s">
        <v>423</v>
      </c>
      <c r="G171" s="759"/>
      <c r="H171" s="1077" t="str">
        <f>IF(H142="   ","   ",IF(H35=N38,$H$42*$H$69*I168/K168,IF(H35=N37,H42*H69*I170/K170,IF(H35=N36,H42*H69*MAX(I169/K169,I170/K170,0)))))</f>
        <v>   </v>
      </c>
      <c r="I171" s="1078"/>
      <c r="J171" s="1078"/>
      <c r="K171" s="1079"/>
      <c r="L171" s="156"/>
      <c r="N171" s="33"/>
    </row>
    <row r="172" spans="1:14" ht="13.5" customHeight="1">
      <c r="A172" s="36">
        <v>171</v>
      </c>
      <c r="B172" s="20"/>
      <c r="C172" s="20"/>
      <c r="D172" s="20"/>
      <c r="E172" s="20"/>
      <c r="F172" s="633" t="s">
        <v>170</v>
      </c>
      <c r="G172" s="634"/>
      <c r="H172" s="1074" t="str">
        <f>IF(AND(H159=N3,H166=N3,H171&gt;0,H171&lt;=1),N172,N4)</f>
        <v>nicht erfüllt</v>
      </c>
      <c r="I172" s="1074"/>
      <c r="J172" s="1075"/>
      <c r="K172" s="1075"/>
      <c r="L172" s="249" t="s">
        <v>195</v>
      </c>
      <c r="N172" s="33" t="s">
        <v>182</v>
      </c>
    </row>
    <row r="173" spans="1:66" s="7" customFormat="1" ht="13.5" customHeight="1">
      <c r="A173" s="36">
        <v>172</v>
      </c>
      <c r="B173" s="1055" t="s">
        <v>6</v>
      </c>
      <c r="C173" s="1056"/>
      <c r="D173" s="1057"/>
      <c r="E173" s="1044"/>
      <c r="F173" s="1045"/>
      <c r="G173" s="1045"/>
      <c r="H173" s="1045"/>
      <c r="I173" s="1045"/>
      <c r="J173" s="1045"/>
      <c r="K173" s="1045"/>
      <c r="L173" s="1046"/>
      <c r="M173" s="104"/>
      <c r="N173" s="33"/>
      <c r="Q173" s="8"/>
      <c r="R173" s="9"/>
      <c r="S173" s="8"/>
      <c r="T173" s="8"/>
      <c r="U173" s="8"/>
      <c r="V173" s="8"/>
      <c r="W173" s="8"/>
      <c r="X173" s="8"/>
      <c r="Y173" s="8"/>
      <c r="Z173" s="8"/>
      <c r="AA173" s="9"/>
      <c r="AB173" s="9"/>
      <c r="AC173" s="9"/>
      <c r="AD173" s="9"/>
      <c r="AE173" s="9"/>
      <c r="AF173" s="9"/>
      <c r="AG173" s="9"/>
      <c r="AH173" s="9"/>
      <c r="AI173" s="9"/>
      <c r="AJ173" s="9"/>
      <c r="AK173" s="9"/>
      <c r="AL173" s="9"/>
      <c r="AM173" s="9"/>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row>
    <row r="174" spans="1:66" s="7" customFormat="1" ht="13.5" customHeight="1">
      <c r="A174" s="36">
        <v>173</v>
      </c>
      <c r="B174" s="1058"/>
      <c r="C174" s="1059"/>
      <c r="D174" s="1060"/>
      <c r="E174" s="1047"/>
      <c r="F174" s="1048"/>
      <c r="G174" s="1048"/>
      <c r="H174" s="1048"/>
      <c r="I174" s="1048"/>
      <c r="J174" s="1048"/>
      <c r="K174" s="1048"/>
      <c r="L174" s="1049"/>
      <c r="M174" s="104"/>
      <c r="N174" s="33"/>
      <c r="Q174" s="8"/>
      <c r="R174" s="9"/>
      <c r="S174" s="8"/>
      <c r="T174" s="8"/>
      <c r="U174" s="8"/>
      <c r="V174" s="8"/>
      <c r="W174" s="8"/>
      <c r="X174" s="8"/>
      <c r="Y174" s="8"/>
      <c r="Z174" s="8"/>
      <c r="AA174" s="9"/>
      <c r="AB174" s="9"/>
      <c r="AC174" s="9"/>
      <c r="AD174" s="9"/>
      <c r="AE174" s="9"/>
      <c r="AF174" s="9"/>
      <c r="AG174" s="9"/>
      <c r="AH174" s="9"/>
      <c r="AI174" s="9"/>
      <c r="AJ174" s="9"/>
      <c r="AK174" s="9"/>
      <c r="AL174" s="9"/>
      <c r="AM174" s="9"/>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row>
    <row r="175" spans="1:66" s="7" customFormat="1" ht="13.5" customHeight="1">
      <c r="A175" s="165">
        <v>174</v>
      </c>
      <c r="B175" s="1051">
        <f ca="1">TODAY()</f>
        <v>39037</v>
      </c>
      <c r="C175" s="1052"/>
      <c r="D175" s="1053"/>
      <c r="E175" s="1054" t="s">
        <v>4</v>
      </c>
      <c r="F175" s="1052"/>
      <c r="G175" s="1053"/>
      <c r="H175" s="1039"/>
      <c r="I175" s="1040"/>
      <c r="J175" s="1041"/>
      <c r="K175" s="1039"/>
      <c r="L175" s="1050"/>
      <c r="M175" s="104"/>
      <c r="N175" s="33"/>
      <c r="Q175" s="8"/>
      <c r="R175" s="9"/>
      <c r="S175" s="8"/>
      <c r="T175" s="8"/>
      <c r="U175" s="8"/>
      <c r="V175" s="8"/>
      <c r="W175" s="8"/>
      <c r="X175" s="8"/>
      <c r="Y175" s="8"/>
      <c r="Z175" s="8"/>
      <c r="AA175" s="9"/>
      <c r="AB175" s="9"/>
      <c r="AC175" s="9"/>
      <c r="AD175" s="9"/>
      <c r="AE175" s="9"/>
      <c r="AF175" s="9"/>
      <c r="AG175" s="9"/>
      <c r="AH175" s="9"/>
      <c r="AI175" s="9"/>
      <c r="AJ175" s="9"/>
      <c r="AK175" s="9"/>
      <c r="AL175" s="9"/>
      <c r="AM175" s="9"/>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row>
    <row r="176" spans="1:12" ht="12">
      <c r="A176" s="157"/>
      <c r="B176" s="1042" t="s">
        <v>260</v>
      </c>
      <c r="C176" s="1043"/>
      <c r="D176" s="1043"/>
      <c r="E176" s="20"/>
      <c r="F176" s="20"/>
      <c r="G176" s="15"/>
      <c r="H176" s="15"/>
      <c r="I176" s="15"/>
      <c r="J176" s="15"/>
      <c r="K176" s="15"/>
      <c r="L176" s="15"/>
    </row>
    <row r="177" spans="1:12" ht="12">
      <c r="A177" s="157"/>
      <c r="B177" s="20"/>
      <c r="C177" s="20"/>
      <c r="D177" s="20"/>
      <c r="E177" s="20"/>
      <c r="F177" s="20"/>
      <c r="G177" s="15"/>
      <c r="H177" s="15"/>
      <c r="I177" s="15"/>
      <c r="J177" s="15"/>
      <c r="K177" s="15"/>
      <c r="L177" s="15"/>
    </row>
  </sheetData>
  <sheetProtection password="DD3B" sheet="1" objects="1" scenarios="1"/>
  <mergeCells count="420">
    <mergeCell ref="B27:L27"/>
    <mergeCell ref="H172:K172"/>
    <mergeCell ref="H144:K144"/>
    <mergeCell ref="H171:K171"/>
    <mergeCell ref="H159:K159"/>
    <mergeCell ref="I170:J170"/>
    <mergeCell ref="I169:J169"/>
    <mergeCell ref="H145:K145"/>
    <mergeCell ref="H163:K163"/>
    <mergeCell ref="H164:K165"/>
    <mergeCell ref="H152:K152"/>
    <mergeCell ref="F69:G69"/>
    <mergeCell ref="F71:G71"/>
    <mergeCell ref="B68:G68"/>
    <mergeCell ref="B71:D71"/>
    <mergeCell ref="B91:D91"/>
    <mergeCell ref="F91:G91"/>
    <mergeCell ref="B99:D99"/>
    <mergeCell ref="B89:D89"/>
    <mergeCell ref="B92:D92"/>
    <mergeCell ref="E66:G66"/>
    <mergeCell ref="B69:D69"/>
    <mergeCell ref="B70:E70"/>
    <mergeCell ref="B67:D67"/>
    <mergeCell ref="H166:K166"/>
    <mergeCell ref="F164:G165"/>
    <mergeCell ref="F166:G166"/>
    <mergeCell ref="F162:G162"/>
    <mergeCell ref="H162:K162"/>
    <mergeCell ref="F171:G171"/>
    <mergeCell ref="B170:D170"/>
    <mergeCell ref="I167:J167"/>
    <mergeCell ref="B168:D168"/>
    <mergeCell ref="I168:J168"/>
    <mergeCell ref="B169:D169"/>
    <mergeCell ref="F169:G169"/>
    <mergeCell ref="F170:G170"/>
    <mergeCell ref="H175:J175"/>
    <mergeCell ref="B176:D176"/>
    <mergeCell ref="E173:L173"/>
    <mergeCell ref="E174:L174"/>
    <mergeCell ref="K175:L175"/>
    <mergeCell ref="B175:D175"/>
    <mergeCell ref="E175:G175"/>
    <mergeCell ref="B173:D174"/>
    <mergeCell ref="F31:G31"/>
    <mergeCell ref="F67:G67"/>
    <mergeCell ref="F36:G36"/>
    <mergeCell ref="F52:G52"/>
    <mergeCell ref="F50:G50"/>
    <mergeCell ref="F59:G59"/>
    <mergeCell ref="F44:G44"/>
    <mergeCell ref="F48:G48"/>
    <mergeCell ref="F37:G37"/>
    <mergeCell ref="F39:G39"/>
    <mergeCell ref="B41:D41"/>
    <mergeCell ref="B39:D39"/>
    <mergeCell ref="F38:G38"/>
    <mergeCell ref="E40:F40"/>
    <mergeCell ref="H49:K49"/>
    <mergeCell ref="F56:G56"/>
    <mergeCell ref="B55:K55"/>
    <mergeCell ref="B52:D52"/>
    <mergeCell ref="B56:D56"/>
    <mergeCell ref="H54:K54"/>
    <mergeCell ref="B49:D49"/>
    <mergeCell ref="F49:G49"/>
    <mergeCell ref="H52:K52"/>
    <mergeCell ref="B50:D50"/>
    <mergeCell ref="G17:H17"/>
    <mergeCell ref="G15:H15"/>
    <mergeCell ref="G18:H18"/>
    <mergeCell ref="K17:L17"/>
    <mergeCell ref="H10:K10"/>
    <mergeCell ref="D10:F10"/>
    <mergeCell ref="I23:J23"/>
    <mergeCell ref="H33:K33"/>
    <mergeCell ref="F25:J25"/>
    <mergeCell ref="F29:G29"/>
    <mergeCell ref="F32:G32"/>
    <mergeCell ref="G14:H14"/>
    <mergeCell ref="K18:L18"/>
    <mergeCell ref="K16:L16"/>
    <mergeCell ref="F95:G95"/>
    <mergeCell ref="F93:G93"/>
    <mergeCell ref="B96:D96"/>
    <mergeCell ref="B94:G94"/>
    <mergeCell ref="B93:D93"/>
    <mergeCell ref="H71:K71"/>
    <mergeCell ref="H72:K72"/>
    <mergeCell ref="H132:I132"/>
    <mergeCell ref="H97:K97"/>
    <mergeCell ref="H98:K98"/>
    <mergeCell ref="H99:K99"/>
    <mergeCell ref="H100:K100"/>
    <mergeCell ref="I86:J86"/>
    <mergeCell ref="H102:K102"/>
    <mergeCell ref="B103:I103"/>
    <mergeCell ref="I157:J157"/>
    <mergeCell ref="H146:K146"/>
    <mergeCell ref="J161:K161"/>
    <mergeCell ref="H161:I161"/>
    <mergeCell ref="H158:K158"/>
    <mergeCell ref="B160:L160"/>
    <mergeCell ref="F152:G152"/>
    <mergeCell ref="F161:G161"/>
    <mergeCell ref="F159:G159"/>
    <mergeCell ref="B153:K153"/>
    <mergeCell ref="F154:G154"/>
    <mergeCell ref="H156:K156"/>
    <mergeCell ref="B156:D156"/>
    <mergeCell ref="B155:D155"/>
    <mergeCell ref="H155:K155"/>
    <mergeCell ref="B154:D154"/>
    <mergeCell ref="F136:G136"/>
    <mergeCell ref="F126:G126"/>
    <mergeCell ref="E125:K125"/>
    <mergeCell ref="J127:K127"/>
    <mergeCell ref="F128:G128"/>
    <mergeCell ref="H134:I134"/>
    <mergeCell ref="J126:K126"/>
    <mergeCell ref="F132:G132"/>
    <mergeCell ref="J135:K135"/>
    <mergeCell ref="J134:K134"/>
    <mergeCell ref="B165:D165"/>
    <mergeCell ref="F168:G168"/>
    <mergeCell ref="E164:E165"/>
    <mergeCell ref="F167:G167"/>
    <mergeCell ref="B163:D163"/>
    <mergeCell ref="F155:G155"/>
    <mergeCell ref="B164:D164"/>
    <mergeCell ref="B162:D162"/>
    <mergeCell ref="F163:G163"/>
    <mergeCell ref="B158:D158"/>
    <mergeCell ref="F157:G157"/>
    <mergeCell ref="F158:G158"/>
    <mergeCell ref="B161:D161"/>
    <mergeCell ref="C136:D136"/>
    <mergeCell ref="C120:D120"/>
    <mergeCell ref="C124:D124"/>
    <mergeCell ref="C123:D123"/>
    <mergeCell ref="C135:D135"/>
    <mergeCell ref="C132:D132"/>
    <mergeCell ref="C133:D133"/>
    <mergeCell ref="C127:D127"/>
    <mergeCell ref="B125:D125"/>
    <mergeCell ref="B129:L129"/>
    <mergeCell ref="F104:G104"/>
    <mergeCell ref="F99:G99"/>
    <mergeCell ref="F97:G97"/>
    <mergeCell ref="F102:G102"/>
    <mergeCell ref="F98:G98"/>
    <mergeCell ref="F100:G100"/>
    <mergeCell ref="F101:G101"/>
    <mergeCell ref="B73:D73"/>
    <mergeCell ref="B87:D87"/>
    <mergeCell ref="B85:D85"/>
    <mergeCell ref="B78:D78"/>
    <mergeCell ref="B77:D77"/>
    <mergeCell ref="B81:D81"/>
    <mergeCell ref="B80:D80"/>
    <mergeCell ref="B76:D76"/>
    <mergeCell ref="F87:G87"/>
    <mergeCell ref="B90:D90"/>
    <mergeCell ref="F84:G84"/>
    <mergeCell ref="B88:D88"/>
    <mergeCell ref="B86:D86"/>
    <mergeCell ref="F86:G86"/>
    <mergeCell ref="F85:G85"/>
    <mergeCell ref="F88:G88"/>
    <mergeCell ref="B48:D48"/>
    <mergeCell ref="F43:G43"/>
    <mergeCell ref="B45:D45"/>
    <mergeCell ref="B43:D43"/>
    <mergeCell ref="B44:D44"/>
    <mergeCell ref="B47:G47"/>
    <mergeCell ref="D1:K1"/>
    <mergeCell ref="D3:L3"/>
    <mergeCell ref="B4:L4"/>
    <mergeCell ref="D2:L2"/>
    <mergeCell ref="B1:C1"/>
    <mergeCell ref="H62:K62"/>
    <mergeCell ref="B33:D33"/>
    <mergeCell ref="B36:D36"/>
    <mergeCell ref="B38:D38"/>
    <mergeCell ref="B40:D40"/>
    <mergeCell ref="B35:D35"/>
    <mergeCell ref="I51:J51"/>
    <mergeCell ref="H50:K50"/>
    <mergeCell ref="B42:D42"/>
    <mergeCell ref="F42:G42"/>
    <mergeCell ref="H63:K63"/>
    <mergeCell ref="F63:G63"/>
    <mergeCell ref="F65:G65"/>
    <mergeCell ref="H65:K65"/>
    <mergeCell ref="H64:K64"/>
    <mergeCell ref="F64:G64"/>
    <mergeCell ref="B51:D51"/>
    <mergeCell ref="F51:G51"/>
    <mergeCell ref="F58:G58"/>
    <mergeCell ref="B57:D57"/>
    <mergeCell ref="F57:G57"/>
    <mergeCell ref="F54:G54"/>
    <mergeCell ref="F77:G77"/>
    <mergeCell ref="B62:D62"/>
    <mergeCell ref="F62:G62"/>
    <mergeCell ref="B58:D58"/>
    <mergeCell ref="B59:D59"/>
    <mergeCell ref="F60:G60"/>
    <mergeCell ref="F61:G61"/>
    <mergeCell ref="F73:G73"/>
    <mergeCell ref="F76:G76"/>
    <mergeCell ref="B72:D72"/>
    <mergeCell ref="F80:G80"/>
    <mergeCell ref="F79:G79"/>
    <mergeCell ref="F82:G82"/>
    <mergeCell ref="B84:D84"/>
    <mergeCell ref="B83:D83"/>
    <mergeCell ref="F83:G83"/>
    <mergeCell ref="B79:D79"/>
    <mergeCell ref="I83:J83"/>
    <mergeCell ref="H82:K82"/>
    <mergeCell ref="B82:D82"/>
    <mergeCell ref="C6:E6"/>
    <mergeCell ref="B24:L24"/>
    <mergeCell ref="B7:L7"/>
    <mergeCell ref="K13:L13"/>
    <mergeCell ref="G13:H13"/>
    <mergeCell ref="G22:H22"/>
    <mergeCell ref="H11:K11"/>
    <mergeCell ref="H8:K8"/>
    <mergeCell ref="D8:F8"/>
    <mergeCell ref="D9:F9"/>
    <mergeCell ref="H92:K92"/>
    <mergeCell ref="J91:K91"/>
    <mergeCell ref="F30:G30"/>
    <mergeCell ref="H34:K34"/>
    <mergeCell ref="F45:G45"/>
    <mergeCell ref="E46:F46"/>
    <mergeCell ref="F81:G81"/>
    <mergeCell ref="F72:G72"/>
    <mergeCell ref="H47:K47"/>
    <mergeCell ref="B13:D13"/>
    <mergeCell ref="H9:K9"/>
    <mergeCell ref="G16:H16"/>
    <mergeCell ref="B46:D46"/>
    <mergeCell ref="B29:D29"/>
    <mergeCell ref="B30:D30"/>
    <mergeCell ref="B25:E25"/>
    <mergeCell ref="B32:D32"/>
    <mergeCell ref="B31:D31"/>
    <mergeCell ref="H40:K40"/>
    <mergeCell ref="H38:K38"/>
    <mergeCell ref="H43:K43"/>
    <mergeCell ref="H42:K42"/>
    <mergeCell ref="H39:K39"/>
    <mergeCell ref="H35:K35"/>
    <mergeCell ref="B37:D37"/>
    <mergeCell ref="F41:G41"/>
    <mergeCell ref="H36:K36"/>
    <mergeCell ref="F135:G135"/>
    <mergeCell ref="H135:I135"/>
    <mergeCell ref="F133:G133"/>
    <mergeCell ref="F134:G134"/>
    <mergeCell ref="F131:G131"/>
    <mergeCell ref="B130:L130"/>
    <mergeCell ref="C128:D128"/>
    <mergeCell ref="J133:K133"/>
    <mergeCell ref="J132:K132"/>
    <mergeCell ref="H133:I133"/>
    <mergeCell ref="H131:I131"/>
    <mergeCell ref="J131:K131"/>
    <mergeCell ref="B148:D148"/>
    <mergeCell ref="B146:D146"/>
    <mergeCell ref="F146:G146"/>
    <mergeCell ref="B149:D149"/>
    <mergeCell ref="B147:D147"/>
    <mergeCell ref="F148:G148"/>
    <mergeCell ref="B145:D145"/>
    <mergeCell ref="F144:G144"/>
    <mergeCell ref="F145:G145"/>
    <mergeCell ref="B143:D143"/>
    <mergeCell ref="B144:D144"/>
    <mergeCell ref="F143:G143"/>
    <mergeCell ref="B137:D137"/>
    <mergeCell ref="J142:K142"/>
    <mergeCell ref="B141:L141"/>
    <mergeCell ref="F139:G139"/>
    <mergeCell ref="J139:K139"/>
    <mergeCell ref="C139:D139"/>
    <mergeCell ref="F142:G142"/>
    <mergeCell ref="B142:D142"/>
    <mergeCell ref="H140:K140"/>
    <mergeCell ref="F140:G140"/>
    <mergeCell ref="H142:I142"/>
    <mergeCell ref="K20:L20"/>
    <mergeCell ref="K22:L22"/>
    <mergeCell ref="K19:L19"/>
    <mergeCell ref="H30:K30"/>
    <mergeCell ref="H29:K29"/>
    <mergeCell ref="F26:J26"/>
    <mergeCell ref="G19:H19"/>
    <mergeCell ref="G20:H20"/>
    <mergeCell ref="F28:G28"/>
    <mergeCell ref="H28:K28"/>
    <mergeCell ref="H56:K56"/>
    <mergeCell ref="G21:H21"/>
    <mergeCell ref="H31:K31"/>
    <mergeCell ref="F35:G35"/>
    <mergeCell ref="F33:G33"/>
    <mergeCell ref="H32:K32"/>
    <mergeCell ref="F34:G34"/>
    <mergeCell ref="H37:K37"/>
    <mergeCell ref="H45:K45"/>
    <mergeCell ref="H41:K41"/>
    <mergeCell ref="B105:D105"/>
    <mergeCell ref="B100:D100"/>
    <mergeCell ref="B97:D97"/>
    <mergeCell ref="H57:K57"/>
    <mergeCell ref="H60:K60"/>
    <mergeCell ref="H58:K58"/>
    <mergeCell ref="I84:J84"/>
    <mergeCell ref="H105:K105"/>
    <mergeCell ref="F105:G105"/>
    <mergeCell ref="H88:K88"/>
    <mergeCell ref="H93:K93"/>
    <mergeCell ref="H95:K95"/>
    <mergeCell ref="H96:K96"/>
    <mergeCell ref="H108:K108"/>
    <mergeCell ref="H107:K107"/>
    <mergeCell ref="H101:K101"/>
    <mergeCell ref="H104:K104"/>
    <mergeCell ref="J121:K121"/>
    <mergeCell ref="J122:K122"/>
    <mergeCell ref="J123:K123"/>
    <mergeCell ref="J128:K128"/>
    <mergeCell ref="J124:K124"/>
    <mergeCell ref="F122:G122"/>
    <mergeCell ref="F127:G127"/>
    <mergeCell ref="H122:I122"/>
    <mergeCell ref="C122:D122"/>
    <mergeCell ref="H124:I124"/>
    <mergeCell ref="F124:G124"/>
    <mergeCell ref="C126:D126"/>
    <mergeCell ref="B112:D112"/>
    <mergeCell ref="F111:G111"/>
    <mergeCell ref="F107:G107"/>
    <mergeCell ref="H123:I123"/>
    <mergeCell ref="B109:L109"/>
    <mergeCell ref="B113:D113"/>
    <mergeCell ref="H111:K111"/>
    <mergeCell ref="F113:G113"/>
    <mergeCell ref="H114:K114"/>
    <mergeCell ref="F121:G121"/>
    <mergeCell ref="H73:K73"/>
    <mergeCell ref="H89:I89"/>
    <mergeCell ref="H87:K87"/>
    <mergeCell ref="J89:K89"/>
    <mergeCell ref="H76:K76"/>
    <mergeCell ref="H77:K77"/>
    <mergeCell ref="H81:K81"/>
    <mergeCell ref="I85:J85"/>
    <mergeCell ref="B74:L74"/>
    <mergeCell ref="F89:G89"/>
    <mergeCell ref="F117:G117"/>
    <mergeCell ref="H118:I118"/>
    <mergeCell ref="C119:D119"/>
    <mergeCell ref="F118:G118"/>
    <mergeCell ref="C118:D118"/>
    <mergeCell ref="H119:I119"/>
    <mergeCell ref="I75:J75"/>
    <mergeCell ref="B116:L116"/>
    <mergeCell ref="H90:K90"/>
    <mergeCell ref="H91:I91"/>
    <mergeCell ref="F92:G92"/>
    <mergeCell ref="F96:G96"/>
    <mergeCell ref="I94:J94"/>
    <mergeCell ref="B114:D114"/>
    <mergeCell ref="B107:D107"/>
    <mergeCell ref="H106:K106"/>
    <mergeCell ref="F106:G106"/>
    <mergeCell ref="B104:D104"/>
    <mergeCell ref="F110:G110"/>
    <mergeCell ref="F172:G172"/>
    <mergeCell ref="B115:L115"/>
    <mergeCell ref="F114:G114"/>
    <mergeCell ref="F108:G108"/>
    <mergeCell ref="B110:D110"/>
    <mergeCell ref="H121:I121"/>
    <mergeCell ref="B117:E117"/>
    <mergeCell ref="I143:J143"/>
    <mergeCell ref="J138:K138"/>
    <mergeCell ref="H136:I136"/>
    <mergeCell ref="F156:G156"/>
    <mergeCell ref="H149:K149"/>
    <mergeCell ref="H154:K154"/>
    <mergeCell ref="J136:K136"/>
    <mergeCell ref="F147:G147"/>
    <mergeCell ref="E137:K137"/>
    <mergeCell ref="F149:G149"/>
    <mergeCell ref="B11:F11"/>
    <mergeCell ref="F6:L6"/>
    <mergeCell ref="H69:K69"/>
    <mergeCell ref="H67:K67"/>
    <mergeCell ref="H46:K46"/>
    <mergeCell ref="H61:K61"/>
    <mergeCell ref="H59:K59"/>
    <mergeCell ref="I48:J48"/>
    <mergeCell ref="H44:K44"/>
    <mergeCell ref="I66:J66"/>
    <mergeCell ref="J118:K118"/>
    <mergeCell ref="H117:I117"/>
    <mergeCell ref="F138:G138"/>
    <mergeCell ref="J119:K119"/>
    <mergeCell ref="J120:K120"/>
    <mergeCell ref="J117:K117"/>
    <mergeCell ref="F120:G120"/>
    <mergeCell ref="H120:I120"/>
    <mergeCell ref="F123:G123"/>
    <mergeCell ref="F119:G119"/>
  </mergeCells>
  <dataValidations count="7">
    <dataValidation type="list" allowBlank="1" showInputMessage="1" showErrorMessage="1" sqref="H43:K43">
      <formula1>belastung</formula1>
    </dataValidation>
    <dataValidation type="list" allowBlank="1" showInputMessage="1" showErrorMessage="1" sqref="H35:K35">
      <formula1>$N$36:$N$38</formula1>
    </dataValidation>
    <dataValidation type="list" allowBlank="1" showInputMessage="1" showErrorMessage="1" sqref="H38:K38">
      <formula1>medien</formula1>
    </dataValidation>
    <dataValidation type="list" allowBlank="1" showInputMessage="1" showErrorMessage="1" sqref="H8:K8">
      <formula1>alleplaste1</formula1>
    </dataValidation>
    <dataValidation type="list" allowBlank="1" showInputMessage="1" showErrorMessage="1" sqref="H9:K9">
      <formula1>Zeit</formula1>
    </dataValidation>
    <dataValidation type="decimal" allowBlank="1" showInputMessage="1" showErrorMessage="1" errorTitle="Max.zulässiger Druck" error="siehe Details" sqref="H29:K29">
      <formula1>0</formula1>
      <formula2>0.0495</formula2>
    </dataValidation>
    <dataValidation type="decimal" allowBlank="1" showInputMessage="1" showErrorMessage="1" sqref="H31:K31">
      <formula1>0.0005</formula1>
      <formula2>0.05</formula2>
    </dataValidation>
  </dataValidations>
  <printOptions/>
  <pageMargins left="0.7874015748031497" right="0.4330708661417323" top="0.7480314960629921" bottom="0" header="0.5118110236220472" footer="0"/>
  <pageSetup horizontalDpi="300" verticalDpi="300" orientation="portrait" paperSize="9" r:id="rId6"/>
  <headerFooter alignWithMargins="0">
    <oddHeader>&amp;L&amp;9   Technische Berechnung : Behälter und Apparate aus Thermoplasten</oddHeader>
  </headerFooter>
  <rowBreaks count="3" manualBreakCount="3">
    <brk id="53" max="255" man="1"/>
    <brk id="101" max="255" man="1"/>
    <brk id="151" max="255" man="1"/>
  </rowBreaks>
  <drawing r:id="rId5"/>
  <legacyDrawing r:id="rId4"/>
  <oleObjects>
    <oleObject progId="TurboCAD.Drawing.4" shapeId="398861" r:id="rId2"/>
    <oleObject progId="TurboCAD.Drawing.4" shapeId="20409" r:id="rId3"/>
  </oleObjects>
</worksheet>
</file>

<file path=xl/worksheets/sheet2.xml><?xml version="1.0" encoding="utf-8"?>
<worksheet xmlns="http://schemas.openxmlformats.org/spreadsheetml/2006/main" xmlns:r="http://schemas.openxmlformats.org/officeDocument/2006/relationships">
  <sheetPr codeName="Tabelle2">
    <tabColor indexed="34"/>
  </sheetPr>
  <dimension ref="A1:BN140"/>
  <sheetViews>
    <sheetView showGridLines="0" showRowColHeaders="0" zoomScale="140" zoomScaleNormal="140" workbookViewId="0" topLeftCell="A1">
      <selection activeCell="D1" sqref="D1:K1"/>
    </sheetView>
  </sheetViews>
  <sheetFormatPr defaultColWidth="11.421875" defaultRowHeight="12.75"/>
  <cols>
    <col min="1" max="1" width="3.140625" style="23" customWidth="1"/>
    <col min="2" max="2" width="14.7109375" style="16" customWidth="1"/>
    <col min="3" max="6" width="7.28125" style="16" customWidth="1"/>
    <col min="7" max="11" width="7.28125" style="17" customWidth="1"/>
    <col min="12" max="12" width="8.00390625" style="17" customWidth="1"/>
    <col min="13" max="13" width="6.7109375" style="17" customWidth="1"/>
    <col min="14" max="14" width="33.8515625" style="113" hidden="1" customWidth="1"/>
    <col min="15" max="15" width="25.421875" style="16" customWidth="1"/>
    <col min="16" max="16" width="10.28125" style="16" customWidth="1"/>
    <col min="17" max="17" width="22.140625" style="11" customWidth="1"/>
    <col min="18" max="18" width="28.140625" style="12" customWidth="1"/>
    <col min="19" max="19" width="5.7109375" style="11" customWidth="1"/>
    <col min="20" max="20" width="7.00390625" style="11" customWidth="1"/>
    <col min="21" max="21" width="9.140625" style="11" customWidth="1"/>
    <col min="22" max="23" width="5.7109375" style="11" customWidth="1"/>
    <col min="24" max="26" width="10.28125" style="11" customWidth="1"/>
    <col min="27" max="39" width="5.7109375" style="12" customWidth="1"/>
    <col min="40" max="66" width="5.7109375" style="13" customWidth="1"/>
    <col min="67" max="16384" width="10.28125" style="16" customWidth="1"/>
  </cols>
  <sheetData>
    <row r="1" spans="1:66" s="7" customFormat="1" ht="12.75" customHeight="1">
      <c r="A1" s="35">
        <v>1</v>
      </c>
      <c r="B1" s="1131" t="s">
        <v>9</v>
      </c>
      <c r="C1" s="1132"/>
      <c r="D1" s="1129"/>
      <c r="E1" s="1130"/>
      <c r="F1" s="1130"/>
      <c r="G1" s="1130"/>
      <c r="H1" s="1130"/>
      <c r="I1" s="1130"/>
      <c r="J1" s="1130"/>
      <c r="K1" s="1130"/>
      <c r="L1" s="415"/>
      <c r="M1" s="38"/>
      <c r="N1" s="111"/>
      <c r="Q1" s="8"/>
      <c r="R1" s="9"/>
      <c r="S1" s="8"/>
      <c r="T1" s="8"/>
      <c r="U1" s="8"/>
      <c r="V1" s="8"/>
      <c r="W1" s="8"/>
      <c r="X1" s="8"/>
      <c r="Y1" s="8"/>
      <c r="Z1" s="8"/>
      <c r="AA1" s="9"/>
      <c r="AB1" s="9"/>
      <c r="AC1" s="9"/>
      <c r="AD1" s="9"/>
      <c r="AE1" s="9"/>
      <c r="AF1" s="9"/>
      <c r="AG1" s="9"/>
      <c r="AH1" s="9"/>
      <c r="AI1" s="9"/>
      <c r="AJ1" s="9"/>
      <c r="AK1" s="9"/>
      <c r="AL1" s="9"/>
      <c r="AM1" s="9"/>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row>
    <row r="2" spans="1:14" ht="12" customHeight="1">
      <c r="A2" s="36">
        <v>2</v>
      </c>
      <c r="B2" s="37" t="s">
        <v>38</v>
      </c>
      <c r="C2" s="332"/>
      <c r="D2" s="950" t="s">
        <v>151</v>
      </c>
      <c r="E2" s="951"/>
      <c r="F2" s="951"/>
      <c r="G2" s="951"/>
      <c r="H2" s="951"/>
      <c r="I2" s="951"/>
      <c r="J2" s="951"/>
      <c r="K2" s="951"/>
      <c r="L2" s="952"/>
      <c r="M2" s="290"/>
      <c r="N2" s="112"/>
    </row>
    <row r="3" spans="1:14" ht="12" customHeight="1">
      <c r="A3" s="36">
        <v>3</v>
      </c>
      <c r="B3" s="38" t="s">
        <v>39</v>
      </c>
      <c r="C3" s="333"/>
      <c r="D3" s="946" t="s">
        <v>152</v>
      </c>
      <c r="E3" s="761"/>
      <c r="F3" s="761"/>
      <c r="G3" s="761"/>
      <c r="H3" s="761"/>
      <c r="I3" s="761"/>
      <c r="J3" s="761"/>
      <c r="K3" s="761"/>
      <c r="L3" s="762"/>
      <c r="M3" s="416"/>
      <c r="N3" s="33"/>
    </row>
    <row r="4" spans="1:14" ht="12" customHeight="1">
      <c r="A4" s="36">
        <v>4</v>
      </c>
      <c r="B4" s="947" t="s">
        <v>262</v>
      </c>
      <c r="C4" s="948"/>
      <c r="D4" s="948"/>
      <c r="E4" s="948"/>
      <c r="F4" s="948"/>
      <c r="G4" s="948"/>
      <c r="H4" s="948"/>
      <c r="I4" s="948"/>
      <c r="J4" s="948"/>
      <c r="K4" s="948"/>
      <c r="L4" s="949"/>
      <c r="M4" s="417"/>
      <c r="N4" s="40"/>
    </row>
    <row r="5" spans="1:66" s="7" customFormat="1" ht="15.75" customHeight="1">
      <c r="A5" s="36">
        <v>5</v>
      </c>
      <c r="B5" s="1108" t="s">
        <v>153</v>
      </c>
      <c r="C5" s="1109"/>
      <c r="D5" s="1109"/>
      <c r="E5" s="1109"/>
      <c r="F5" s="1109"/>
      <c r="G5" s="1109"/>
      <c r="H5" s="1109"/>
      <c r="I5" s="1109"/>
      <c r="J5" s="1109"/>
      <c r="K5" s="1109"/>
      <c r="L5" s="1110"/>
      <c r="M5" s="290"/>
      <c r="N5" s="40"/>
      <c r="Q5" s="8"/>
      <c r="R5" s="9"/>
      <c r="S5" s="8"/>
      <c r="T5" s="8"/>
      <c r="U5" s="8"/>
      <c r="V5" s="8"/>
      <c r="W5" s="8"/>
      <c r="X5" s="8"/>
      <c r="Y5" s="8"/>
      <c r="Z5" s="8"/>
      <c r="AA5" s="9"/>
      <c r="AB5" s="9"/>
      <c r="AC5" s="9"/>
      <c r="AD5" s="9"/>
      <c r="AE5" s="9"/>
      <c r="AF5" s="9"/>
      <c r="AG5" s="9"/>
      <c r="AH5" s="9"/>
      <c r="AI5" s="9"/>
      <c r="AJ5" s="9"/>
      <c r="AK5" s="9"/>
      <c r="AL5" s="9"/>
      <c r="AM5" s="9"/>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row>
    <row r="6" spans="1:66" s="7" customFormat="1" ht="18" customHeight="1">
      <c r="A6" s="36">
        <v>6</v>
      </c>
      <c r="B6" s="912" t="s">
        <v>424</v>
      </c>
      <c r="C6" s="913"/>
      <c r="D6" s="913"/>
      <c r="E6" s="913"/>
      <c r="F6" s="913"/>
      <c r="G6" s="913"/>
      <c r="H6" s="913"/>
      <c r="I6" s="913"/>
      <c r="J6" s="913"/>
      <c r="K6" s="913"/>
      <c r="L6" s="914"/>
      <c r="M6" s="20"/>
      <c r="N6" s="45"/>
      <c r="O6" s="342"/>
      <c r="P6" s="342"/>
      <c r="Q6" s="342"/>
      <c r="R6" s="342"/>
      <c r="S6" s="342"/>
      <c r="T6" s="8"/>
      <c r="U6" s="8"/>
      <c r="V6" s="8"/>
      <c r="W6" s="8"/>
      <c r="X6" s="8"/>
      <c r="Y6" s="8"/>
      <c r="Z6" s="8"/>
      <c r="AA6" s="9"/>
      <c r="AB6" s="9"/>
      <c r="AC6" s="9"/>
      <c r="AD6" s="9"/>
      <c r="AE6" s="9"/>
      <c r="AF6" s="9"/>
      <c r="AG6" s="9"/>
      <c r="AH6" s="9"/>
      <c r="AI6" s="9"/>
      <c r="AJ6" s="9"/>
      <c r="AK6" s="9"/>
      <c r="AL6" s="9"/>
      <c r="AM6" s="9"/>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row>
    <row r="7" spans="1:66" s="7" customFormat="1" ht="18" customHeight="1" hidden="1">
      <c r="A7" s="36"/>
      <c r="B7" s="255" t="s">
        <v>205</v>
      </c>
      <c r="C7" s="454" t="e">
        <f>VLOOKUP(I10,'D1'!A66:'D1'!EV79,Statik!L49,0)</f>
        <v>#N/A</v>
      </c>
      <c r="D7" s="1105" t="s">
        <v>206</v>
      </c>
      <c r="E7" s="1105"/>
      <c r="F7" s="318" t="s">
        <v>15</v>
      </c>
      <c r="G7" s="455"/>
      <c r="H7" s="1098" t="s">
        <v>207</v>
      </c>
      <c r="I7" s="1098"/>
      <c r="J7" s="454" t="e">
        <f>VLOOKUP(I10,'D1'!A66:'D1'!EV79,Statik!I51,0)</f>
        <v>#N/A</v>
      </c>
      <c r="K7" s="456"/>
      <c r="L7" s="457"/>
      <c r="M7" s="20"/>
      <c r="N7" s="45"/>
      <c r="O7" s="342"/>
      <c r="P7" s="342"/>
      <c r="Q7" s="342"/>
      <c r="R7" s="342"/>
      <c r="S7" s="342"/>
      <c r="T7" s="8"/>
      <c r="U7" s="8"/>
      <c r="V7" s="8"/>
      <c r="W7" s="8"/>
      <c r="X7" s="8"/>
      <c r="Y7" s="8"/>
      <c r="Z7" s="8"/>
      <c r="AA7" s="9"/>
      <c r="AB7" s="9"/>
      <c r="AC7" s="9"/>
      <c r="AD7" s="9"/>
      <c r="AE7" s="9"/>
      <c r="AF7" s="9"/>
      <c r="AG7" s="9"/>
      <c r="AH7" s="9"/>
      <c r="AI7" s="9"/>
      <c r="AJ7" s="9"/>
      <c r="AK7" s="9"/>
      <c r="AL7" s="9"/>
      <c r="AM7" s="9"/>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row>
    <row r="8" spans="1:66" s="7" customFormat="1" ht="15" customHeight="1">
      <c r="A8" s="36">
        <v>7</v>
      </c>
      <c r="B8" s="172"/>
      <c r="C8" s="428"/>
      <c r="D8" s="1123" t="s">
        <v>204</v>
      </c>
      <c r="E8" s="1124"/>
      <c r="F8" s="1125" t="s">
        <v>177</v>
      </c>
      <c r="G8" s="1126"/>
      <c r="H8" s="458"/>
      <c r="I8" s="816" t="str">
        <f>IF(Statik!H172=N27,N27,IF(Statik!H172=Statik!N172,N26,N27))</f>
        <v>nicht erfüllt</v>
      </c>
      <c r="J8" s="816"/>
      <c r="K8" s="816"/>
      <c r="L8" s="459"/>
      <c r="M8" s="21"/>
      <c r="N8" s="45"/>
      <c r="O8" s="342"/>
      <c r="P8" s="342"/>
      <c r="Q8" s="342"/>
      <c r="R8" s="342"/>
      <c r="S8" s="342"/>
      <c r="T8" s="8"/>
      <c r="U8" s="8"/>
      <c r="V8" s="8"/>
      <c r="W8" s="8"/>
      <c r="X8" s="8"/>
      <c r="Y8" s="8"/>
      <c r="Z8" s="8"/>
      <c r="AA8" s="9"/>
      <c r="AB8" s="9"/>
      <c r="AC8" s="9"/>
      <c r="AD8" s="9"/>
      <c r="AE8" s="9"/>
      <c r="AF8" s="9"/>
      <c r="AG8" s="9"/>
      <c r="AH8" s="9"/>
      <c r="AI8" s="9"/>
      <c r="AJ8" s="9"/>
      <c r="AK8" s="9"/>
      <c r="AL8" s="9"/>
      <c r="AM8" s="9"/>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row>
    <row r="9" spans="1:66" s="7" customFormat="1" ht="12.75" customHeight="1">
      <c r="A9" s="36">
        <v>8</v>
      </c>
      <c r="F9" s="857" t="s">
        <v>191</v>
      </c>
      <c r="G9" s="699"/>
      <c r="H9" s="460" t="s">
        <v>16</v>
      </c>
      <c r="I9" s="1118"/>
      <c r="J9" s="1119"/>
      <c r="K9" s="1120"/>
      <c r="L9" s="461"/>
      <c r="M9" s="21"/>
      <c r="N9" s="175" t="s">
        <v>149</v>
      </c>
      <c r="O9" s="342"/>
      <c r="P9" s="342"/>
      <c r="Q9" s="342"/>
      <c r="R9" s="342"/>
      <c r="S9" s="342"/>
      <c r="T9" s="8"/>
      <c r="U9" s="8"/>
      <c r="V9" s="8"/>
      <c r="W9" s="8"/>
      <c r="X9" s="8"/>
      <c r="Y9" s="8"/>
      <c r="Z9" s="8"/>
      <c r="AA9" s="9"/>
      <c r="AB9" s="9"/>
      <c r="AC9" s="9"/>
      <c r="AD9" s="9"/>
      <c r="AE9" s="9"/>
      <c r="AF9" s="9"/>
      <c r="AG9" s="9"/>
      <c r="AH9" s="9"/>
      <c r="AI9" s="9"/>
      <c r="AJ9" s="9"/>
      <c r="AK9" s="9"/>
      <c r="AL9" s="9"/>
      <c r="AM9" s="9"/>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row>
    <row r="10" spans="1:66" s="7" customFormat="1" ht="12.75" customHeight="1">
      <c r="A10" s="36">
        <v>9</v>
      </c>
      <c r="B10" s="1127"/>
      <c r="C10" s="1128"/>
      <c r="D10" s="1128"/>
      <c r="E10" s="189"/>
      <c r="F10" s="1121" t="s">
        <v>145</v>
      </c>
      <c r="G10" s="1122"/>
      <c r="H10" s="462" t="s">
        <v>35</v>
      </c>
      <c r="I10" s="1115"/>
      <c r="J10" s="1116"/>
      <c r="K10" s="1117"/>
      <c r="L10" s="481" t="str">
        <f>IF(I8=N27,"   ",IF(OR(ISBLANK(I9),ISBLANK(I10)),N27,IF(AND(I8=N26,ISTEXT(I9),ISTEXT(I10),C7&gt;0,J7&gt;0),N26,N27)))</f>
        <v>   </v>
      </c>
      <c r="M10" s="463"/>
      <c r="N10" s="175" t="s">
        <v>190</v>
      </c>
      <c r="Q10" s="8"/>
      <c r="R10" s="9"/>
      <c r="S10" s="8"/>
      <c r="T10" s="8"/>
      <c r="U10" s="8"/>
      <c r="V10" s="8"/>
      <c r="W10" s="8"/>
      <c r="X10" s="8"/>
      <c r="Y10" s="8"/>
      <c r="Z10" s="8"/>
      <c r="AA10" s="9"/>
      <c r="AB10" s="9"/>
      <c r="AC10" s="9"/>
      <c r="AD10" s="9"/>
      <c r="AE10" s="9"/>
      <c r="AF10" s="9"/>
      <c r="AG10" s="9"/>
      <c r="AH10" s="9"/>
      <c r="AI10" s="9"/>
      <c r="AJ10" s="9"/>
      <c r="AK10" s="9"/>
      <c r="AL10" s="9"/>
      <c r="AM10" s="9"/>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row>
    <row r="11" spans="1:66" s="7" customFormat="1" ht="15" customHeight="1">
      <c r="A11" s="36">
        <v>10</v>
      </c>
      <c r="B11" s="14"/>
      <c r="C11" s="464"/>
      <c r="D11" s="464"/>
      <c r="E11" s="464"/>
      <c r="F11" s="917" t="s">
        <v>5</v>
      </c>
      <c r="G11" s="1097"/>
      <c r="H11" s="562" t="s">
        <v>95</v>
      </c>
      <c r="I11" s="1111" t="s">
        <v>0</v>
      </c>
      <c r="J11" s="1112"/>
      <c r="K11" s="1112"/>
      <c r="L11" s="530" t="s">
        <v>34</v>
      </c>
      <c r="M11" s="421"/>
      <c r="N11" s="175" t="s">
        <v>150</v>
      </c>
      <c r="Q11" s="8"/>
      <c r="R11" s="9"/>
      <c r="S11" s="8"/>
      <c r="T11" s="8"/>
      <c r="U11" s="8"/>
      <c r="V11" s="8"/>
      <c r="W11" s="8"/>
      <c r="X11" s="8"/>
      <c r="Y11" s="8"/>
      <c r="Z11" s="8"/>
      <c r="AA11" s="9"/>
      <c r="AB11" s="9"/>
      <c r="AC11" s="9"/>
      <c r="AD11" s="9"/>
      <c r="AE11" s="9"/>
      <c r="AF11" s="9"/>
      <c r="AG11" s="9"/>
      <c r="AH11" s="9"/>
      <c r="AI11" s="9"/>
      <c r="AJ11" s="9"/>
      <c r="AK11" s="9"/>
      <c r="AL11" s="9"/>
      <c r="AM11" s="9"/>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row>
    <row r="12" spans="1:66" s="7" customFormat="1" ht="15.75" customHeight="1">
      <c r="A12" s="36">
        <v>11</v>
      </c>
      <c r="B12" s="62"/>
      <c r="C12" s="358"/>
      <c r="D12" s="419"/>
      <c r="E12" s="21"/>
      <c r="F12" s="1113" t="s">
        <v>425</v>
      </c>
      <c r="G12" s="709"/>
      <c r="H12" s="709"/>
      <c r="I12" s="709"/>
      <c r="J12" s="709"/>
      <c r="K12" s="709"/>
      <c r="L12" s="1114"/>
      <c r="M12" s="421"/>
      <c r="N12" s="33"/>
      <c r="Q12" s="8"/>
      <c r="R12" s="9"/>
      <c r="S12" s="8"/>
      <c r="T12" s="8"/>
      <c r="U12" s="8"/>
      <c r="V12" s="8"/>
      <c r="W12" s="8"/>
      <c r="X12" s="8"/>
      <c r="Y12" s="8"/>
      <c r="Z12" s="8"/>
      <c r="AA12" s="9"/>
      <c r="AB12" s="9"/>
      <c r="AC12" s="9"/>
      <c r="AD12" s="9"/>
      <c r="AE12" s="9"/>
      <c r="AF12" s="9"/>
      <c r="AG12" s="9"/>
      <c r="AH12" s="9"/>
      <c r="AI12" s="9"/>
      <c r="AJ12" s="9"/>
      <c r="AK12" s="9"/>
      <c r="AL12" s="9"/>
      <c r="AM12" s="9"/>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row>
    <row r="13" spans="1:66" s="7" customFormat="1" ht="12.75" customHeight="1">
      <c r="A13" s="36">
        <v>12</v>
      </c>
      <c r="B13" s="63"/>
      <c r="C13" s="21"/>
      <c r="D13" s="358"/>
      <c r="E13" s="21"/>
      <c r="F13" s="922" t="s">
        <v>141</v>
      </c>
      <c r="G13" s="656"/>
      <c r="H13" s="176" t="s">
        <v>426</v>
      </c>
      <c r="I13" s="673"/>
      <c r="J13" s="1106"/>
      <c r="K13" s="1107"/>
      <c r="L13" s="423"/>
      <c r="M13" s="421"/>
      <c r="N13" s="33"/>
      <c r="Q13" s="8"/>
      <c r="R13" s="9"/>
      <c r="S13" s="8"/>
      <c r="T13" s="8"/>
      <c r="U13" s="8"/>
      <c r="V13" s="8"/>
      <c r="W13" s="8"/>
      <c r="X13" s="8"/>
      <c r="Y13" s="8"/>
      <c r="Z13" s="8"/>
      <c r="AA13" s="9"/>
      <c r="AB13" s="9"/>
      <c r="AC13" s="9"/>
      <c r="AD13" s="9"/>
      <c r="AE13" s="9"/>
      <c r="AF13" s="9"/>
      <c r="AG13" s="9"/>
      <c r="AH13" s="9"/>
      <c r="AI13" s="9"/>
      <c r="AJ13" s="9"/>
      <c r="AK13" s="9"/>
      <c r="AL13" s="9"/>
      <c r="AM13" s="9"/>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row>
    <row r="14" spans="1:66" s="7" customFormat="1" ht="12.75" customHeight="1">
      <c r="A14" s="36">
        <v>13</v>
      </c>
      <c r="B14" s="62"/>
      <c r="C14" s="358"/>
      <c r="D14" s="358"/>
      <c r="E14" s="358"/>
      <c r="F14" s="922" t="s">
        <v>136</v>
      </c>
      <c r="G14" s="656"/>
      <c r="H14" s="176" t="s">
        <v>49</v>
      </c>
      <c r="I14" s="673"/>
      <c r="J14" s="1106"/>
      <c r="K14" s="1107"/>
      <c r="L14" s="427" t="s">
        <v>146</v>
      </c>
      <c r="M14" s="421"/>
      <c r="N14" s="33"/>
      <c r="Q14" s="8"/>
      <c r="R14" s="9"/>
      <c r="S14" s="8"/>
      <c r="T14" s="8"/>
      <c r="U14" s="8"/>
      <c r="V14" s="8"/>
      <c r="W14" s="8"/>
      <c r="X14" s="8"/>
      <c r="Y14" s="8"/>
      <c r="Z14" s="8"/>
      <c r="AA14" s="9"/>
      <c r="AB14" s="9"/>
      <c r="AC14" s="9"/>
      <c r="AD14" s="9"/>
      <c r="AE14" s="9"/>
      <c r="AF14" s="9"/>
      <c r="AG14" s="9"/>
      <c r="AH14" s="9"/>
      <c r="AI14" s="9"/>
      <c r="AJ14" s="9"/>
      <c r="AK14" s="9"/>
      <c r="AL14" s="9"/>
      <c r="AM14" s="9"/>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row>
    <row r="15" spans="1:66" s="7" customFormat="1" ht="12.75" customHeight="1">
      <c r="A15" s="36">
        <v>14</v>
      </c>
      <c r="B15" s="66"/>
      <c r="C15" s="424"/>
      <c r="D15" s="358"/>
      <c r="E15" s="358"/>
      <c r="F15" s="922" t="s">
        <v>135</v>
      </c>
      <c r="G15" s="852"/>
      <c r="H15" s="176" t="s">
        <v>427</v>
      </c>
      <c r="I15" s="673"/>
      <c r="J15" s="1106"/>
      <c r="K15" s="1107"/>
      <c r="L15" s="518" t="str">
        <f>IF(AND(I8=N26,I15&gt;0),Statik!J16-I15,"   ")</f>
        <v>   </v>
      </c>
      <c r="M15" s="421"/>
      <c r="N15" s="33"/>
      <c r="Q15" s="8"/>
      <c r="R15" s="9"/>
      <c r="S15" s="8"/>
      <c r="T15" s="8"/>
      <c r="U15" s="8"/>
      <c r="V15" s="8"/>
      <c r="W15" s="8"/>
      <c r="X15" s="8"/>
      <c r="Y15" s="8"/>
      <c r="Z15" s="8"/>
      <c r="AA15" s="9"/>
      <c r="AB15" s="9"/>
      <c r="AC15" s="9"/>
      <c r="AD15" s="9"/>
      <c r="AE15" s="9"/>
      <c r="AF15" s="9"/>
      <c r="AG15" s="9"/>
      <c r="AH15" s="9"/>
      <c r="AI15" s="9"/>
      <c r="AJ15" s="9"/>
      <c r="AK15" s="9"/>
      <c r="AL15" s="9"/>
      <c r="AM15" s="9"/>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row>
    <row r="16" spans="1:66" s="7" customFormat="1" ht="10.5" customHeight="1">
      <c r="A16" s="36">
        <v>15</v>
      </c>
      <c r="B16" s="425"/>
      <c r="C16" s="426"/>
      <c r="D16" s="358"/>
      <c r="E16" s="358"/>
      <c r="F16" s="922" t="s">
        <v>137</v>
      </c>
      <c r="G16" s="656"/>
      <c r="H16" s="1146" t="s">
        <v>279</v>
      </c>
      <c r="I16" s="673"/>
      <c r="J16" s="1106"/>
      <c r="K16" s="1107"/>
      <c r="L16" s="1179" t="str">
        <f>IF(OR(I8=N27,L10=N27),"   ",IF(AND(I9=N9,I13&gt;10,I13&lt;=160,I14&gt;=4,I15&gt;10,I16&gt;=4),N26,IF(AND(I9=N10,I13&gt;10,I13&lt;=160,I14&gt;=4,I15&gt;10,I16&gt;=4),N26,IF(AND(I9=N11,I13=0,I14=0,I15=0,I16=0),N28,N27))))</f>
        <v>   </v>
      </c>
      <c r="M16" s="421"/>
      <c r="N16" s="33"/>
      <c r="Q16" s="8"/>
      <c r="R16" s="9"/>
      <c r="S16" s="8"/>
      <c r="T16" s="8"/>
      <c r="U16" s="8"/>
      <c r="V16" s="8"/>
      <c r="W16" s="8"/>
      <c r="X16" s="8"/>
      <c r="Y16" s="8"/>
      <c r="Z16" s="8"/>
      <c r="AA16" s="9"/>
      <c r="AB16" s="9"/>
      <c r="AC16" s="9"/>
      <c r="AD16" s="9"/>
      <c r="AE16" s="9"/>
      <c r="AF16" s="9"/>
      <c r="AG16" s="9"/>
      <c r="AH16" s="9"/>
      <c r="AI16" s="9"/>
      <c r="AJ16" s="9"/>
      <c r="AK16" s="9"/>
      <c r="AL16" s="9"/>
      <c r="AM16" s="9"/>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row>
    <row r="17" spans="1:66" s="7" customFormat="1" ht="10.5" customHeight="1">
      <c r="A17" s="36">
        <v>16</v>
      </c>
      <c r="B17" s="425"/>
      <c r="C17" s="426"/>
      <c r="D17" s="358"/>
      <c r="E17" s="358"/>
      <c r="F17" s="763" t="s">
        <v>144</v>
      </c>
      <c r="G17" s="793"/>
      <c r="H17" s="1147"/>
      <c r="I17" s="1148"/>
      <c r="J17" s="1144"/>
      <c r="K17" s="1145"/>
      <c r="L17" s="1180"/>
      <c r="M17" s="421"/>
      <c r="N17" s="33"/>
      <c r="Q17" s="8"/>
      <c r="R17" s="9"/>
      <c r="S17" s="8"/>
      <c r="T17" s="8"/>
      <c r="U17" s="8"/>
      <c r="V17" s="8"/>
      <c r="W17" s="8"/>
      <c r="X17" s="8"/>
      <c r="Y17" s="8"/>
      <c r="Z17" s="8"/>
      <c r="AA17" s="9"/>
      <c r="AB17" s="9"/>
      <c r="AC17" s="9"/>
      <c r="AD17" s="9"/>
      <c r="AE17" s="9"/>
      <c r="AF17" s="9"/>
      <c r="AG17" s="9"/>
      <c r="AH17" s="9"/>
      <c r="AI17" s="9"/>
      <c r="AJ17" s="9"/>
      <c r="AK17" s="9"/>
      <c r="AL17" s="9"/>
      <c r="AM17" s="9"/>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row>
    <row r="18" spans="1:66" s="7" customFormat="1" ht="15.75" customHeight="1">
      <c r="A18" s="36">
        <v>17</v>
      </c>
      <c r="B18" s="426"/>
      <c r="C18" s="426"/>
      <c r="D18" s="358"/>
      <c r="E18" s="358"/>
      <c r="F18" s="1149" t="s">
        <v>428</v>
      </c>
      <c r="G18" s="1150"/>
      <c r="H18" s="1150"/>
      <c r="I18" s="1150"/>
      <c r="J18" s="1150"/>
      <c r="K18" s="1150"/>
      <c r="L18" s="465"/>
      <c r="M18" s="421"/>
      <c r="N18" s="33"/>
      <c r="Q18" s="8"/>
      <c r="R18" s="9"/>
      <c r="S18" s="8"/>
      <c r="T18" s="8"/>
      <c r="U18" s="8"/>
      <c r="V18" s="8"/>
      <c r="W18" s="8"/>
      <c r="X18" s="8"/>
      <c r="Y18" s="8"/>
      <c r="Z18" s="8"/>
      <c r="AA18" s="9"/>
      <c r="AB18" s="9"/>
      <c r="AC18" s="9"/>
      <c r="AD18" s="9"/>
      <c r="AE18" s="9"/>
      <c r="AF18" s="9"/>
      <c r="AG18" s="9"/>
      <c r="AH18" s="9"/>
      <c r="AI18" s="9"/>
      <c r="AJ18" s="9"/>
      <c r="AK18" s="9"/>
      <c r="AL18" s="9"/>
      <c r="AM18" s="9"/>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row>
    <row r="19" spans="1:66" s="7" customFormat="1" ht="12.75" customHeight="1">
      <c r="A19" s="36">
        <v>18</v>
      </c>
      <c r="B19" s="68"/>
      <c r="C19" s="21"/>
      <c r="D19" s="466"/>
      <c r="E19" s="467"/>
      <c r="F19" s="922" t="s">
        <v>141</v>
      </c>
      <c r="G19" s="656"/>
      <c r="H19" s="176" t="s">
        <v>426</v>
      </c>
      <c r="I19" s="673"/>
      <c r="J19" s="1106"/>
      <c r="K19" s="1107"/>
      <c r="L19" s="423"/>
      <c r="M19" s="421"/>
      <c r="N19" s="33"/>
      <c r="Q19" s="8"/>
      <c r="R19" s="9"/>
      <c r="S19" s="8"/>
      <c r="T19" s="8"/>
      <c r="U19" s="8"/>
      <c r="V19" s="8"/>
      <c r="W19" s="8"/>
      <c r="X19" s="8"/>
      <c r="Y19" s="8"/>
      <c r="Z19" s="8"/>
      <c r="AA19" s="9"/>
      <c r="AB19" s="9"/>
      <c r="AC19" s="9"/>
      <c r="AD19" s="9"/>
      <c r="AE19" s="9"/>
      <c r="AF19" s="9"/>
      <c r="AG19" s="9"/>
      <c r="AH19" s="9"/>
      <c r="AI19" s="9"/>
      <c r="AJ19" s="9"/>
      <c r="AK19" s="9"/>
      <c r="AL19" s="9"/>
      <c r="AM19" s="9"/>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row>
    <row r="20" spans="1:66" s="7" customFormat="1" ht="12.75" customHeight="1">
      <c r="A20" s="36">
        <v>19</v>
      </c>
      <c r="B20" s="67"/>
      <c r="C20" s="39"/>
      <c r="D20" s="358"/>
      <c r="E20" s="358"/>
      <c r="F20" s="922" t="s">
        <v>136</v>
      </c>
      <c r="G20" s="656"/>
      <c r="H20" s="176" t="s">
        <v>49</v>
      </c>
      <c r="I20" s="673"/>
      <c r="J20" s="1106"/>
      <c r="K20" s="1107"/>
      <c r="L20" s="427" t="s">
        <v>146</v>
      </c>
      <c r="M20" s="421"/>
      <c r="N20" s="42"/>
      <c r="Q20" s="8"/>
      <c r="R20" s="9"/>
      <c r="S20" s="8"/>
      <c r="T20" s="8"/>
      <c r="U20" s="8"/>
      <c r="V20" s="8"/>
      <c r="W20" s="8"/>
      <c r="X20" s="8"/>
      <c r="Y20" s="8"/>
      <c r="Z20" s="8"/>
      <c r="AA20" s="9"/>
      <c r="AB20" s="9"/>
      <c r="AC20" s="9"/>
      <c r="AD20" s="9"/>
      <c r="AE20" s="9"/>
      <c r="AF20" s="9"/>
      <c r="AG20" s="9"/>
      <c r="AH20" s="9"/>
      <c r="AI20" s="9"/>
      <c r="AJ20" s="9"/>
      <c r="AK20" s="9"/>
      <c r="AL20" s="9"/>
      <c r="AM20" s="9"/>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row>
    <row r="21" spans="1:66" s="7" customFormat="1" ht="12.75" customHeight="1">
      <c r="A21" s="36">
        <v>20</v>
      </c>
      <c r="B21" s="21"/>
      <c r="C21" s="67"/>
      <c r="D21" s="358"/>
      <c r="E21" s="468"/>
      <c r="F21" s="922" t="s">
        <v>135</v>
      </c>
      <c r="G21" s="852"/>
      <c r="H21" s="176" t="s">
        <v>429</v>
      </c>
      <c r="I21" s="673"/>
      <c r="J21" s="1106"/>
      <c r="K21" s="1107"/>
      <c r="L21" s="519" t="str">
        <f>IF(OR(I8=N27,L16=N27,I21=0),"   ",Statik!J16-I21)</f>
        <v>   </v>
      </c>
      <c r="M21" s="421"/>
      <c r="N21" s="42"/>
      <c r="Q21" s="8"/>
      <c r="R21" s="9"/>
      <c r="S21" s="8"/>
      <c r="T21" s="8"/>
      <c r="U21" s="8"/>
      <c r="V21" s="8"/>
      <c r="W21" s="8"/>
      <c r="X21" s="8"/>
      <c r="Y21" s="8"/>
      <c r="Z21" s="8"/>
      <c r="AA21" s="9"/>
      <c r="AB21" s="9"/>
      <c r="AC21" s="9"/>
      <c r="AD21" s="9"/>
      <c r="AE21" s="9"/>
      <c r="AF21" s="9"/>
      <c r="AG21" s="9"/>
      <c r="AH21" s="9"/>
      <c r="AI21" s="9"/>
      <c r="AJ21" s="9"/>
      <c r="AK21" s="9"/>
      <c r="AL21" s="9"/>
      <c r="AM21" s="9"/>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row>
    <row r="22" spans="1:66" s="7" customFormat="1" ht="10.5" customHeight="1">
      <c r="A22" s="36">
        <v>21</v>
      </c>
      <c r="B22" s="62"/>
      <c r="C22" s="358"/>
      <c r="D22" s="358"/>
      <c r="E22" s="39"/>
      <c r="F22" s="922" t="s">
        <v>137</v>
      </c>
      <c r="G22" s="852"/>
      <c r="H22" s="1146" t="s">
        <v>279</v>
      </c>
      <c r="I22" s="673"/>
      <c r="J22" s="1106"/>
      <c r="K22" s="1107"/>
      <c r="L22" s="1179" t="str">
        <f>IF(OR(I8=N27,L10=N27,L16=N27),"   ",IF(AND(I9=N9,L16=N26,I19&gt;0,I19&lt;=160,I20&gt;=4,I21&gt;0,I22&gt;=4),N26,IF(AND(I9=N9,L16=N26,I19=0,I20=0,I21=0,I22=0),N26,IF(AND(I9=N10,L16=N26,I19&gt;0,I19&lt;=160,I20&gt;=4,I21&gt;0,I22&gt;=4),N26,IF(AND(I9=N10,L16=N26,I19=0,I20=0,I21=0,I22=0),N26,IF(AND(I9=N11,I19=0,I20=0,I21=0,I22=0),N29,N27))))))</f>
        <v>   </v>
      </c>
      <c r="M22" s="421"/>
      <c r="N22" s="33"/>
      <c r="Q22" s="8"/>
      <c r="R22" s="9"/>
      <c r="S22" s="8"/>
      <c r="T22" s="8"/>
      <c r="U22" s="8"/>
      <c r="V22" s="8"/>
      <c r="W22" s="8"/>
      <c r="X22" s="8"/>
      <c r="Y22" s="8"/>
      <c r="Z22" s="8"/>
      <c r="AA22" s="9"/>
      <c r="AB22" s="9"/>
      <c r="AC22" s="9"/>
      <c r="AD22" s="9"/>
      <c r="AE22" s="9"/>
      <c r="AF22" s="9"/>
      <c r="AG22" s="9"/>
      <c r="AH22" s="9"/>
      <c r="AI22" s="9"/>
      <c r="AJ22" s="9"/>
      <c r="AK22" s="9"/>
      <c r="AL22" s="9"/>
      <c r="AM22" s="9"/>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row>
    <row r="23" spans="1:66" s="7" customFormat="1" ht="10.5" customHeight="1">
      <c r="A23" s="36">
        <v>22</v>
      </c>
      <c r="B23" s="62"/>
      <c r="C23" s="358"/>
      <c r="D23" s="358"/>
      <c r="E23" s="39"/>
      <c r="F23" s="922" t="s">
        <v>144</v>
      </c>
      <c r="G23" s="852"/>
      <c r="H23" s="1147"/>
      <c r="I23" s="1148"/>
      <c r="J23" s="1144"/>
      <c r="K23" s="1145"/>
      <c r="L23" s="1180"/>
      <c r="M23" s="421"/>
      <c r="N23" s="33"/>
      <c r="Q23" s="8"/>
      <c r="R23" s="9"/>
      <c r="S23" s="8"/>
      <c r="T23" s="8"/>
      <c r="U23" s="8"/>
      <c r="V23" s="8"/>
      <c r="W23" s="8"/>
      <c r="X23" s="8"/>
      <c r="Y23" s="8"/>
      <c r="Z23" s="8"/>
      <c r="AA23" s="9"/>
      <c r="AB23" s="9"/>
      <c r="AC23" s="9"/>
      <c r="AD23" s="9"/>
      <c r="AE23" s="9"/>
      <c r="AF23" s="9"/>
      <c r="AG23" s="9"/>
      <c r="AH23" s="9"/>
      <c r="AI23" s="9"/>
      <c r="AJ23" s="9"/>
      <c r="AK23" s="9"/>
      <c r="AL23" s="9"/>
      <c r="AM23" s="9"/>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row>
    <row r="24" spans="1:66" s="7" customFormat="1" ht="15.75" customHeight="1">
      <c r="A24" s="36">
        <v>23</v>
      </c>
      <c r="B24" s="469"/>
      <c r="C24" s="470"/>
      <c r="D24" s="358"/>
      <c r="E24" s="471"/>
      <c r="F24" s="1149" t="s">
        <v>430</v>
      </c>
      <c r="G24" s="1150"/>
      <c r="H24" s="1150"/>
      <c r="I24" s="1150"/>
      <c r="J24" s="1150"/>
      <c r="K24" s="1150"/>
      <c r="L24" s="1151"/>
      <c r="M24" s="421"/>
      <c r="N24" s="41"/>
      <c r="Q24" s="8"/>
      <c r="R24" s="9"/>
      <c r="S24" s="8"/>
      <c r="T24" s="8"/>
      <c r="U24" s="8"/>
      <c r="V24" s="8"/>
      <c r="W24" s="8"/>
      <c r="X24" s="8"/>
      <c r="Y24" s="8"/>
      <c r="Z24" s="8"/>
      <c r="AA24" s="9"/>
      <c r="AB24" s="9"/>
      <c r="AC24" s="9"/>
      <c r="AD24" s="9"/>
      <c r="AE24" s="9"/>
      <c r="AF24" s="9"/>
      <c r="AG24" s="9"/>
      <c r="AH24" s="9"/>
      <c r="AI24" s="9"/>
      <c r="AJ24" s="9"/>
      <c r="AK24" s="9"/>
      <c r="AL24" s="9"/>
      <c r="AM24" s="9"/>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row>
    <row r="25" spans="1:66" s="7" customFormat="1" ht="12.75" customHeight="1">
      <c r="A25" s="36">
        <v>24</v>
      </c>
      <c r="B25" s="64"/>
      <c r="C25" s="65"/>
      <c r="D25" s="358"/>
      <c r="E25" s="21"/>
      <c r="F25" s="922" t="s">
        <v>141</v>
      </c>
      <c r="G25" s="656"/>
      <c r="H25" s="176" t="s">
        <v>426</v>
      </c>
      <c r="I25" s="673"/>
      <c r="J25" s="1106"/>
      <c r="K25" s="1107"/>
      <c r="L25" s="423"/>
      <c r="M25" s="421"/>
      <c r="N25" s="41"/>
      <c r="Q25" s="8"/>
      <c r="R25" s="9"/>
      <c r="S25" s="8"/>
      <c r="T25" s="8"/>
      <c r="U25" s="8"/>
      <c r="V25" s="8"/>
      <c r="W25" s="8"/>
      <c r="X25" s="8"/>
      <c r="Y25" s="8"/>
      <c r="Z25" s="8"/>
      <c r="AA25" s="9"/>
      <c r="AB25" s="9"/>
      <c r="AC25" s="9"/>
      <c r="AD25" s="9"/>
      <c r="AE25" s="9"/>
      <c r="AF25" s="9"/>
      <c r="AG25" s="9"/>
      <c r="AH25" s="9"/>
      <c r="AI25" s="9"/>
      <c r="AJ25" s="9"/>
      <c r="AK25" s="9"/>
      <c r="AL25" s="9"/>
      <c r="AM25" s="9"/>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row>
    <row r="26" spans="1:66" s="7" customFormat="1" ht="12.75" customHeight="1">
      <c r="A26" s="36">
        <v>25</v>
      </c>
      <c r="B26" s="62"/>
      <c r="C26" s="358"/>
      <c r="D26" s="358"/>
      <c r="E26" s="21"/>
      <c r="F26" s="922" t="s">
        <v>136</v>
      </c>
      <c r="G26" s="656"/>
      <c r="H26" s="176" t="s">
        <v>49</v>
      </c>
      <c r="I26" s="673"/>
      <c r="J26" s="1106"/>
      <c r="K26" s="1107"/>
      <c r="L26" s="472"/>
      <c r="M26" s="429" t="s">
        <v>42</v>
      </c>
      <c r="N26" s="107" t="s">
        <v>33</v>
      </c>
      <c r="Q26" s="8"/>
      <c r="R26" s="9"/>
      <c r="S26" s="8"/>
      <c r="T26" s="8"/>
      <c r="U26" s="8"/>
      <c r="V26" s="8"/>
      <c r="W26" s="8"/>
      <c r="X26" s="8"/>
      <c r="Y26" s="8"/>
      <c r="Z26" s="8"/>
      <c r="AA26" s="9"/>
      <c r="AB26" s="9"/>
      <c r="AC26" s="9"/>
      <c r="AD26" s="9"/>
      <c r="AE26" s="9"/>
      <c r="AF26" s="9"/>
      <c r="AG26" s="9"/>
      <c r="AH26" s="9"/>
      <c r="AI26" s="9"/>
      <c r="AJ26" s="9"/>
      <c r="AK26" s="9"/>
      <c r="AL26" s="9"/>
      <c r="AM26" s="9"/>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row>
    <row r="27" spans="1:14" ht="12.75" customHeight="1">
      <c r="A27" s="36">
        <v>26</v>
      </c>
      <c r="B27" s="20"/>
      <c r="C27" s="20"/>
      <c r="D27" s="20"/>
      <c r="E27" s="20"/>
      <c r="F27" s="763" t="s">
        <v>102</v>
      </c>
      <c r="G27" s="1142"/>
      <c r="H27" s="563" t="s">
        <v>280</v>
      </c>
      <c r="I27" s="1143"/>
      <c r="J27" s="1144"/>
      <c r="K27" s="1145"/>
      <c r="L27" s="473" t="str">
        <f>IF(OR(I8=N27,I8="   ",L10=N27,L16=N27,L22=N27),"   ",IF(AND(I9=N9,I25=0,I26=0,I27=0),N30,IF(AND(I9=N10,L22=N26,I25&gt;0,I26&gt;=4,I27&gt;=4),N26,IF(AND(I9=N11,L16=N28,L22=N29,I25&gt;0,I26&gt;=4,I27&gt;=4),N26,N27))))</f>
        <v>   </v>
      </c>
      <c r="M27" s="15"/>
      <c r="N27" s="108" t="s">
        <v>65</v>
      </c>
    </row>
    <row r="28" spans="1:66" s="7" customFormat="1" ht="12.75" customHeight="1">
      <c r="A28" s="36">
        <v>27</v>
      </c>
      <c r="B28" s="19"/>
      <c r="C28" s="18"/>
      <c r="D28" s="21"/>
      <c r="E28" s="27"/>
      <c r="F28" s="1171"/>
      <c r="G28" s="1172"/>
      <c r="H28" s="179"/>
      <c r="I28" s="1173" t="str">
        <f>IF(OR(I8=N27,L27="   "),"   ",IF(AND(I9=N9,L16=N26,L22=N26,L27=N30),N26,IF(AND(I9=N10,L16=N26,L22=N26,L27=N26),N26,IF(AND(I9=N11,L16=N28,L22=N29,L27=N26),N26,N27))))</f>
        <v>   </v>
      </c>
      <c r="J28" s="1174"/>
      <c r="K28" s="1174"/>
      <c r="L28" s="436"/>
      <c r="M28" s="22"/>
      <c r="N28" s="109" t="s">
        <v>201</v>
      </c>
      <c r="Q28" s="8"/>
      <c r="R28" s="9"/>
      <c r="S28" s="8"/>
      <c r="T28" s="8"/>
      <c r="U28" s="8"/>
      <c r="V28" s="8"/>
      <c r="W28" s="8"/>
      <c r="X28" s="8"/>
      <c r="Y28" s="8"/>
      <c r="Z28" s="8"/>
      <c r="AA28" s="9"/>
      <c r="AB28" s="9"/>
      <c r="AC28" s="9"/>
      <c r="AD28" s="9"/>
      <c r="AE28" s="9"/>
      <c r="AF28" s="9"/>
      <c r="AG28" s="9"/>
      <c r="AH28" s="9"/>
      <c r="AI28" s="9"/>
      <c r="AJ28" s="9"/>
      <c r="AK28" s="9"/>
      <c r="AL28" s="9"/>
      <c r="AM28" s="9"/>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row>
    <row r="29" spans="1:66" s="7" customFormat="1" ht="15.75" customHeight="1">
      <c r="A29" s="36">
        <v>28</v>
      </c>
      <c r="B29" s="180" t="s">
        <v>5</v>
      </c>
      <c r="C29" s="180"/>
      <c r="D29" s="181"/>
      <c r="E29" s="182" t="s">
        <v>2</v>
      </c>
      <c r="F29" s="1102" t="s">
        <v>41</v>
      </c>
      <c r="G29" s="1103"/>
      <c r="H29" s="1104"/>
      <c r="I29" s="1099" t="s">
        <v>40</v>
      </c>
      <c r="J29" s="1100"/>
      <c r="K29" s="1101"/>
      <c r="L29" s="183" t="s">
        <v>34</v>
      </c>
      <c r="M29" s="437"/>
      <c r="N29" s="110" t="s">
        <v>202</v>
      </c>
      <c r="Q29" s="8"/>
      <c r="R29" s="9"/>
      <c r="S29" s="8"/>
      <c r="T29" s="8"/>
      <c r="U29" s="8"/>
      <c r="V29" s="8"/>
      <c r="W29" s="8"/>
      <c r="X29" s="8"/>
      <c r="Y29" s="8"/>
      <c r="Z29" s="8"/>
      <c r="AA29" s="9"/>
      <c r="AB29" s="9"/>
      <c r="AC29" s="9"/>
      <c r="AD29" s="9"/>
      <c r="AE29" s="9"/>
      <c r="AF29" s="9"/>
      <c r="AG29" s="9"/>
      <c r="AH29" s="9"/>
      <c r="AI29" s="9"/>
      <c r="AJ29" s="9"/>
      <c r="AK29" s="9"/>
      <c r="AL29" s="9"/>
      <c r="AM29" s="9"/>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row>
    <row r="30" spans="1:66" s="7" customFormat="1" ht="15" customHeight="1">
      <c r="A30" s="36">
        <v>29</v>
      </c>
      <c r="B30" s="1140" t="s">
        <v>214</v>
      </c>
      <c r="C30" s="1141"/>
      <c r="D30" s="1141"/>
      <c r="E30" s="1141"/>
      <c r="F30" s="1141"/>
      <c r="G30" s="1141"/>
      <c r="H30" s="1141"/>
      <c r="I30" s="1136"/>
      <c r="J30" s="1137"/>
      <c r="K30" s="1137"/>
      <c r="L30" s="77"/>
      <c r="M30" s="21"/>
      <c r="N30" s="33" t="s">
        <v>203</v>
      </c>
      <c r="Q30" s="8"/>
      <c r="R30" s="9"/>
      <c r="S30" s="8"/>
      <c r="T30" s="8"/>
      <c r="U30" s="8"/>
      <c r="V30" s="8"/>
      <c r="W30" s="8"/>
      <c r="X30" s="8"/>
      <c r="Y30" s="8"/>
      <c r="Z30" s="8"/>
      <c r="AA30" s="9"/>
      <c r="AB30" s="9"/>
      <c r="AC30" s="9"/>
      <c r="AD30" s="9"/>
      <c r="AE30" s="9"/>
      <c r="AF30" s="9"/>
      <c r="AG30" s="9"/>
      <c r="AH30" s="9"/>
      <c r="AI30" s="9"/>
      <c r="AJ30" s="9"/>
      <c r="AK30" s="9"/>
      <c r="AL30" s="9"/>
      <c r="AM30" s="9"/>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row>
    <row r="31" spans="1:66" s="7" customFormat="1" ht="12" customHeight="1">
      <c r="A31" s="36">
        <v>30</v>
      </c>
      <c r="B31" s="1135" t="s">
        <v>154</v>
      </c>
      <c r="C31" s="1135"/>
      <c r="D31" s="1135"/>
      <c r="E31" s="438" t="s">
        <v>143</v>
      </c>
      <c r="F31" s="1133" t="s">
        <v>431</v>
      </c>
      <c r="G31" s="1134"/>
      <c r="H31" s="1135"/>
      <c r="I31" s="566" t="str">
        <f>IF(OR(I28=N27,I28="   "),"   ",IF(AND(Statik!H29&gt;0,ISNUMBER(Statik!H29)),Statik!H29,"   "))</f>
        <v>   </v>
      </c>
      <c r="J31" s="522"/>
      <c r="K31" s="567" t="str">
        <f>IF(I31="   ","   ",IF(AND(Statik!H31&gt;0,ISNUMBER(Statik!H31)),Statik!H31,"   "))</f>
        <v>   </v>
      </c>
      <c r="L31" s="584"/>
      <c r="M31" s="437"/>
      <c r="N31" s="44"/>
      <c r="Q31" s="8"/>
      <c r="R31" s="9"/>
      <c r="S31" s="8"/>
      <c r="T31" s="8"/>
      <c r="U31" s="8"/>
      <c r="V31" s="8"/>
      <c r="W31" s="8"/>
      <c r="X31" s="8"/>
      <c r="Y31" s="8"/>
      <c r="Z31" s="8"/>
      <c r="AA31" s="9"/>
      <c r="AB31" s="9"/>
      <c r="AC31" s="9"/>
      <c r="AD31" s="9"/>
      <c r="AE31" s="9"/>
      <c r="AF31" s="9"/>
      <c r="AG31" s="9"/>
      <c r="AH31" s="9"/>
      <c r="AI31" s="9"/>
      <c r="AJ31" s="9"/>
      <c r="AK31" s="9"/>
      <c r="AL31" s="9"/>
      <c r="AM31" s="9"/>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row>
    <row r="32" spans="1:66" s="7" customFormat="1" ht="12" customHeight="1">
      <c r="A32" s="36">
        <v>31</v>
      </c>
      <c r="B32" s="1096" t="s">
        <v>155</v>
      </c>
      <c r="C32" s="1096"/>
      <c r="D32" s="1096"/>
      <c r="E32" s="184" t="s">
        <v>1</v>
      </c>
      <c r="F32" s="1139" t="s">
        <v>432</v>
      </c>
      <c r="G32" s="1096"/>
      <c r="H32" s="1096"/>
      <c r="I32" s="566" t="str">
        <f>IF(I31="   ","   ",IF(AND(Statik!H49&gt;0,ISNUMBER(Statik!H10)),Statik!H10,"   "))</f>
        <v>   </v>
      </c>
      <c r="J32" s="323"/>
      <c r="K32" s="568" t="str">
        <f>IF(I31="   ","   ",MAX(Statik!H51,Statik!K51))</f>
        <v>   </v>
      </c>
      <c r="L32" s="584"/>
      <c r="M32" s="437"/>
      <c r="N32" s="29"/>
      <c r="Q32" s="8"/>
      <c r="R32" s="9"/>
      <c r="S32" s="8"/>
      <c r="T32" s="8"/>
      <c r="U32" s="8"/>
      <c r="V32" s="8"/>
      <c r="W32" s="8"/>
      <c r="X32" s="8"/>
      <c r="Y32" s="8"/>
      <c r="Z32" s="8"/>
      <c r="AA32" s="9"/>
      <c r="AB32" s="9"/>
      <c r="AC32" s="9"/>
      <c r="AD32" s="9"/>
      <c r="AE32" s="9"/>
      <c r="AF32" s="9"/>
      <c r="AG32" s="9"/>
      <c r="AH32" s="9"/>
      <c r="AI32" s="9"/>
      <c r="AJ32" s="9"/>
      <c r="AK32" s="9"/>
      <c r="AL32" s="9"/>
      <c r="AM32" s="9"/>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row>
    <row r="33" spans="1:66" s="7" customFormat="1" ht="12" customHeight="1">
      <c r="A33" s="36">
        <v>32</v>
      </c>
      <c r="B33" s="1096" t="s">
        <v>139</v>
      </c>
      <c r="C33" s="1096"/>
      <c r="D33" s="1096"/>
      <c r="E33" s="184" t="s">
        <v>148</v>
      </c>
      <c r="F33" s="1139" t="s">
        <v>147</v>
      </c>
      <c r="G33" s="1139"/>
      <c r="H33" s="1096"/>
      <c r="I33" s="1138" t="str">
        <f>IF(I31="   ","   ",IF(AND(Statik!H9&gt;0,ISTEXT(Statik!H9)),Statik!H9,"   "))</f>
        <v>   </v>
      </c>
      <c r="J33" s="660"/>
      <c r="K33" s="715"/>
      <c r="L33" s="584"/>
      <c r="M33" s="437"/>
      <c r="N33" s="30"/>
      <c r="Q33" s="8"/>
      <c r="R33" s="9"/>
      <c r="S33" s="8"/>
      <c r="T33" s="8"/>
      <c r="U33" s="8"/>
      <c r="V33" s="8"/>
      <c r="W33" s="8"/>
      <c r="X33" s="8"/>
      <c r="Y33" s="8"/>
      <c r="Z33" s="8"/>
      <c r="AA33" s="9"/>
      <c r="AB33" s="9"/>
      <c r="AC33" s="9"/>
      <c r="AD33" s="9"/>
      <c r="AE33" s="9"/>
      <c r="AF33" s="9"/>
      <c r="AG33" s="9"/>
      <c r="AH33" s="9"/>
      <c r="AI33" s="9"/>
      <c r="AJ33" s="9"/>
      <c r="AK33" s="9"/>
      <c r="AL33" s="9"/>
      <c r="AM33" s="9"/>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row>
    <row r="34" spans="1:66" s="7" customFormat="1" ht="12" customHeight="1">
      <c r="A34" s="36">
        <v>33</v>
      </c>
      <c r="B34" s="1096" t="s">
        <v>215</v>
      </c>
      <c r="C34" s="1096"/>
      <c r="D34" s="1096"/>
      <c r="E34" s="184" t="s">
        <v>148</v>
      </c>
      <c r="F34" s="1091" t="s">
        <v>433</v>
      </c>
      <c r="G34" s="1092"/>
      <c r="H34" s="874"/>
      <c r="I34" s="569" t="str">
        <f>IF(I31="   ","   ",IF(AND(Statik!H40&gt;0,ISNUMBER(Statik!H40)),Statik!H40,"   "))</f>
        <v>   </v>
      </c>
      <c r="J34" s="323"/>
      <c r="K34" s="570" t="str">
        <f>IF(I31="   ","   ",IF(AND(Statik!H41&gt;0,ISNUMBER(Statik!H41)),Statik!H41,"   "))</f>
        <v>   </v>
      </c>
      <c r="L34" s="584"/>
      <c r="M34" s="21"/>
      <c r="N34" s="30"/>
      <c r="Q34" s="8"/>
      <c r="R34" s="9"/>
      <c r="S34" s="8"/>
      <c r="T34" s="8"/>
      <c r="U34" s="8"/>
      <c r="V34" s="8"/>
      <c r="W34" s="8"/>
      <c r="X34" s="8"/>
      <c r="Y34" s="8"/>
      <c r="Z34" s="8"/>
      <c r="AA34" s="9"/>
      <c r="AB34" s="9"/>
      <c r="AC34" s="9"/>
      <c r="AD34" s="9"/>
      <c r="AE34" s="9"/>
      <c r="AF34" s="9"/>
      <c r="AG34" s="9"/>
      <c r="AH34" s="9"/>
      <c r="AI34" s="9"/>
      <c r="AJ34" s="9"/>
      <c r="AK34" s="9"/>
      <c r="AL34" s="9"/>
      <c r="AM34" s="9"/>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row>
    <row r="35" spans="1:66" s="7" customFormat="1" ht="12" customHeight="1">
      <c r="A35" s="36">
        <v>34</v>
      </c>
      <c r="B35" s="1096" t="s">
        <v>140</v>
      </c>
      <c r="C35" s="1096"/>
      <c r="D35" s="1096"/>
      <c r="E35" s="184" t="s">
        <v>148</v>
      </c>
      <c r="F35" s="564" t="s">
        <v>434</v>
      </c>
      <c r="G35" s="526" t="s">
        <v>435</v>
      </c>
      <c r="H35" s="565" t="s">
        <v>436</v>
      </c>
      <c r="I35" s="191" t="str">
        <f>IF(I31="   ","   ",1.2)</f>
        <v>   </v>
      </c>
      <c r="J35" s="149" t="str">
        <f>IF(I31="   ","   ",1.35)</f>
        <v>   </v>
      </c>
      <c r="K35" s="190" t="str">
        <f>IF(I31="   ","   ",1.5)</f>
        <v>   </v>
      </c>
      <c r="L35" s="599"/>
      <c r="M35" s="178"/>
      <c r="N35" s="33"/>
      <c r="Q35" s="8"/>
      <c r="R35" s="9"/>
      <c r="S35" s="8"/>
      <c r="T35" s="8"/>
      <c r="U35" s="8"/>
      <c r="V35" s="8"/>
      <c r="W35" s="8"/>
      <c r="X35" s="8"/>
      <c r="Y35" s="8"/>
      <c r="Z35" s="8"/>
      <c r="AA35" s="9"/>
      <c r="AB35" s="9"/>
      <c r="AC35" s="9"/>
      <c r="AD35" s="9"/>
      <c r="AE35" s="9"/>
      <c r="AF35" s="9"/>
      <c r="AG35" s="9"/>
      <c r="AH35" s="9"/>
      <c r="AI35" s="9"/>
      <c r="AJ35" s="9"/>
      <c r="AK35" s="9"/>
      <c r="AL35" s="9"/>
      <c r="AM35" s="9"/>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row>
    <row r="36" spans="1:66" s="7" customFormat="1" ht="12" customHeight="1">
      <c r="A36" s="36">
        <v>35</v>
      </c>
      <c r="B36" s="1170" t="s">
        <v>209</v>
      </c>
      <c r="C36" s="1156"/>
      <c r="D36" s="1156"/>
      <c r="E36" s="184" t="s">
        <v>148</v>
      </c>
      <c r="F36" s="1154" t="s">
        <v>208</v>
      </c>
      <c r="G36" s="1155"/>
      <c r="H36" s="1156"/>
      <c r="I36" s="1093" t="str">
        <f>IF(I31="   ","   ",IF(Statik!H43=Statik!N31,1.3,2))</f>
        <v>   </v>
      </c>
      <c r="J36" s="1094"/>
      <c r="K36" s="1095"/>
      <c r="L36" s="610"/>
      <c r="M36" s="21"/>
      <c r="N36" s="33"/>
      <c r="Q36" s="8"/>
      <c r="R36" s="9"/>
      <c r="S36" s="8"/>
      <c r="T36" s="8"/>
      <c r="U36" s="8"/>
      <c r="V36" s="8"/>
      <c r="W36" s="8"/>
      <c r="X36" s="8"/>
      <c r="Y36" s="8"/>
      <c r="Z36" s="8"/>
      <c r="AA36" s="9"/>
      <c r="AB36" s="9"/>
      <c r="AC36" s="9"/>
      <c r="AD36" s="9"/>
      <c r="AE36" s="9"/>
      <c r="AF36" s="9"/>
      <c r="AG36" s="9"/>
      <c r="AH36" s="9"/>
      <c r="AI36" s="9"/>
      <c r="AJ36" s="9"/>
      <c r="AK36" s="9"/>
      <c r="AL36" s="9"/>
      <c r="AM36" s="9"/>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row>
    <row r="37" spans="1:14" ht="15" customHeight="1">
      <c r="A37" s="36">
        <v>36</v>
      </c>
      <c r="B37" s="918" t="s">
        <v>219</v>
      </c>
      <c r="C37" s="709"/>
      <c r="D37" s="709"/>
      <c r="E37" s="709"/>
      <c r="F37" s="709"/>
      <c r="G37" s="412"/>
      <c r="H37" s="412"/>
      <c r="I37" s="260"/>
      <c r="J37" s="474"/>
      <c r="K37" s="474"/>
      <c r="L37" s="77"/>
      <c r="N37" s="33"/>
    </row>
    <row r="38" spans="1:14" ht="12" customHeight="1">
      <c r="A38" s="36">
        <v>37</v>
      </c>
      <c r="B38" s="656" t="s">
        <v>210</v>
      </c>
      <c r="C38" s="852"/>
      <c r="D38" s="852"/>
      <c r="E38" s="185" t="s">
        <v>10</v>
      </c>
      <c r="F38" s="1152" t="s">
        <v>440</v>
      </c>
      <c r="G38" s="1153"/>
      <c r="H38" s="1153"/>
      <c r="I38" s="1175" t="str">
        <f>IF(I31="   ","   ",IF(F7=Statik!N13,VLOOKUP(I10,'D1'!A21:'D1'!EV34,C7,0),IF(F7=Statik!N14,VLOOKUP(I10,'D1'!A36:'D1'!EV49,C7,0),IF(F7=Statik!N15,VLOOKUP(I10,'D1'!A51:'D1'!EV64,C7,0),IF(F7=Statik!N16,VLOOKUP(I10,'D1'!A66:'D1'!EV79,C7,0),)))))</f>
        <v>   </v>
      </c>
      <c r="J38" s="893"/>
      <c r="K38" s="1176"/>
      <c r="L38" s="584"/>
      <c r="N38" s="33"/>
    </row>
    <row r="39" spans="1:14" ht="12" customHeight="1">
      <c r="A39" s="36">
        <v>38</v>
      </c>
      <c r="B39" s="656" t="s">
        <v>211</v>
      </c>
      <c r="C39" s="852"/>
      <c r="D39" s="852"/>
      <c r="E39" s="185" t="s">
        <v>10</v>
      </c>
      <c r="F39" s="1152" t="s">
        <v>441</v>
      </c>
      <c r="G39" s="1153"/>
      <c r="H39" s="1153"/>
      <c r="I39" s="1175" t="str">
        <f>IF(I31="   ","   ",IF(F7=Statik!N13,VLOOKUP(I10,'D1'!A21:'D1'!EV34,J7,0),IF(F7=Statik!N14,VLOOKUP(I10,'D1'!A36:'D1'!EV49,J7,0),IF(F7=Statik!N15,VLOOKUP(I10,'D1'!A51:'D1'!EV64,J7,0),IF(F7=Statik!N16,VLOOKUP(I10,'D1'!A66:'D1'!EV79,J7,0),)))))</f>
        <v>   </v>
      </c>
      <c r="J39" s="893"/>
      <c r="K39" s="1176"/>
      <c r="L39" s="584"/>
      <c r="N39" s="33"/>
    </row>
    <row r="40" spans="1:66" s="7" customFormat="1" ht="12" customHeight="1">
      <c r="A40" s="36">
        <v>39</v>
      </c>
      <c r="B40" s="656" t="s">
        <v>439</v>
      </c>
      <c r="C40" s="656"/>
      <c r="D40" s="656"/>
      <c r="E40" s="177" t="s">
        <v>10</v>
      </c>
      <c r="F40" s="1177" t="s">
        <v>442</v>
      </c>
      <c r="G40" s="1089"/>
      <c r="H40" s="1089"/>
      <c r="I40" s="475" t="str">
        <f>IF(I31="   ","   ",IF(L16=N28,0,(0.001*Statik!H39*9.81*L15/1000000)+I31))</f>
        <v>   </v>
      </c>
      <c r="J40" s="476" t="str">
        <f>IF(I31="   ","   ",IF(L22=N29,0,IF(AND(I19=0,I20=0,I21=0,I22=0,L22=N26),0,(0.001*Statik!H39*9.81*L21/1000000)+I31)))</f>
        <v>   </v>
      </c>
      <c r="K40" s="477" t="str">
        <f>IF(I31="   ","   ",IF(I9=N9,0,I31))</f>
        <v>   </v>
      </c>
      <c r="L40" s="584"/>
      <c r="M40" s="437"/>
      <c r="N40" s="33"/>
      <c r="Q40" s="8"/>
      <c r="R40" s="9"/>
      <c r="S40" s="8"/>
      <c r="T40" s="8"/>
      <c r="U40" s="8"/>
      <c r="V40" s="8"/>
      <c r="W40" s="8"/>
      <c r="X40" s="8"/>
      <c r="Y40" s="8"/>
      <c r="Z40" s="8"/>
      <c r="AA40" s="9"/>
      <c r="AB40" s="9"/>
      <c r="AC40" s="9"/>
      <c r="AD40" s="9"/>
      <c r="AE40" s="9"/>
      <c r="AF40" s="9"/>
      <c r="AG40" s="9"/>
      <c r="AH40" s="9"/>
      <c r="AI40" s="9"/>
      <c r="AJ40" s="9"/>
      <c r="AK40" s="9"/>
      <c r="AL40" s="9"/>
      <c r="AM40" s="9"/>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row>
    <row r="41" spans="1:66" s="7" customFormat="1" ht="12" customHeight="1">
      <c r="A41" s="36">
        <v>40</v>
      </c>
      <c r="B41" s="922" t="s">
        <v>437</v>
      </c>
      <c r="C41" s="656"/>
      <c r="D41" s="874"/>
      <c r="E41" s="186" t="s">
        <v>10</v>
      </c>
      <c r="F41" s="1087" t="s">
        <v>443</v>
      </c>
      <c r="G41" s="1088"/>
      <c r="H41" s="1089"/>
      <c r="I41" s="478" t="str">
        <f>IF(I31="   ","   ",I38*Statik!H44/(I34*K34*I36))</f>
        <v>   </v>
      </c>
      <c r="J41" s="323"/>
      <c r="K41" s="479" t="str">
        <f>IF(I31="   ","   ",IF(K40=0,0,I39*Statik!H44/(I34*K34*I36)))</f>
        <v>   </v>
      </c>
      <c r="L41" s="584"/>
      <c r="M41" s="178"/>
      <c r="N41" s="33"/>
      <c r="Q41" s="8"/>
      <c r="R41" s="9"/>
      <c r="S41" s="8"/>
      <c r="T41" s="8"/>
      <c r="U41" s="8"/>
      <c r="V41" s="8"/>
      <c r="W41" s="8"/>
      <c r="X41" s="8"/>
      <c r="Y41" s="8"/>
      <c r="Z41" s="8"/>
      <c r="AA41" s="9"/>
      <c r="AB41" s="9"/>
      <c r="AC41" s="9"/>
      <c r="AD41" s="9"/>
      <c r="AE41" s="9"/>
      <c r="AF41" s="9"/>
      <c r="AG41" s="9"/>
      <c r="AH41" s="9"/>
      <c r="AI41" s="9"/>
      <c r="AJ41" s="9"/>
      <c r="AK41" s="9"/>
      <c r="AL41" s="9"/>
      <c r="AM41" s="9"/>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row>
    <row r="42" spans="1:66" s="7" customFormat="1" ht="12" customHeight="1">
      <c r="A42" s="36">
        <v>41</v>
      </c>
      <c r="B42" s="1090" t="s">
        <v>438</v>
      </c>
      <c r="C42" s="722"/>
      <c r="D42" s="722"/>
      <c r="E42" s="188" t="s">
        <v>0</v>
      </c>
      <c r="F42" s="572" t="s">
        <v>444</v>
      </c>
      <c r="G42" s="573" t="s">
        <v>281</v>
      </c>
      <c r="H42" s="574" t="s">
        <v>445</v>
      </c>
      <c r="I42" s="257" t="str">
        <f>IF(I31="   ","   ",I40*I13/(2*I41+I40))</f>
        <v>   </v>
      </c>
      <c r="J42" s="258" t="str">
        <f>IF(I31="   ","   ",J40*I19/(2*I41+J40))</f>
        <v>   </v>
      </c>
      <c r="K42" s="259" t="str">
        <f>IF(I31="   ","   ",IF(K40=0,0,K40*I25/(2*K41+K40)))</f>
        <v>   </v>
      </c>
      <c r="L42" s="611"/>
      <c r="M42" s="437"/>
      <c r="N42" s="33"/>
      <c r="Q42" s="8"/>
      <c r="R42" s="9"/>
      <c r="S42" s="8"/>
      <c r="T42" s="8"/>
      <c r="U42" s="8"/>
      <c r="V42" s="8"/>
      <c r="W42" s="8"/>
      <c r="X42" s="8"/>
      <c r="Y42" s="8"/>
      <c r="Z42" s="8"/>
      <c r="AA42" s="9"/>
      <c r="AB42" s="9"/>
      <c r="AC42" s="9"/>
      <c r="AD42" s="9"/>
      <c r="AE42" s="9"/>
      <c r="AF42" s="9"/>
      <c r="AG42" s="9"/>
      <c r="AH42" s="9"/>
      <c r="AI42" s="9"/>
      <c r="AJ42" s="9"/>
      <c r="AK42" s="9"/>
      <c r="AL42" s="9"/>
      <c r="AM42" s="9"/>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row>
    <row r="43" spans="1:66" s="7" customFormat="1" ht="15" customHeight="1">
      <c r="A43" s="36">
        <v>42</v>
      </c>
      <c r="B43" s="993" t="s">
        <v>446</v>
      </c>
      <c r="C43" s="994"/>
      <c r="D43" s="994"/>
      <c r="E43" s="994"/>
      <c r="F43" s="994"/>
      <c r="G43" s="994"/>
      <c r="H43" s="994"/>
      <c r="I43" s="721"/>
      <c r="J43" s="721"/>
      <c r="L43" s="26"/>
      <c r="M43" s="437"/>
      <c r="N43" s="33"/>
      <c r="Q43" s="8"/>
      <c r="R43" s="9"/>
      <c r="S43" s="8"/>
      <c r="T43" s="8"/>
      <c r="U43" s="8"/>
      <c r="V43" s="8"/>
      <c r="W43" s="8"/>
      <c r="X43" s="8"/>
      <c r="Y43" s="8"/>
      <c r="Z43" s="8"/>
      <c r="AA43" s="9"/>
      <c r="AB43" s="9"/>
      <c r="AC43" s="9"/>
      <c r="AD43" s="9"/>
      <c r="AE43" s="9"/>
      <c r="AF43" s="9"/>
      <c r="AG43" s="9"/>
      <c r="AH43" s="9"/>
      <c r="AI43" s="9"/>
      <c r="AJ43" s="9"/>
      <c r="AK43" s="9"/>
      <c r="AL43" s="9"/>
      <c r="AM43" s="9"/>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row>
    <row r="44" spans="1:66" s="7" customFormat="1" ht="12" customHeight="1">
      <c r="A44" s="36">
        <v>43</v>
      </c>
      <c r="B44" s="656" t="s">
        <v>239</v>
      </c>
      <c r="C44" s="656"/>
      <c r="D44" s="656"/>
      <c r="E44" s="185" t="s">
        <v>148</v>
      </c>
      <c r="F44" s="575" t="s">
        <v>447</v>
      </c>
      <c r="G44" s="545" t="s">
        <v>448</v>
      </c>
      <c r="H44" s="576" t="s">
        <v>449</v>
      </c>
      <c r="I44" s="272" t="str">
        <f>IF(I31="   ","   ",IF(I40=0,0,0.75/(1+I13/(2*SQRT((Statik!J17+I16)*I16)))))</f>
        <v>   </v>
      </c>
      <c r="J44" s="273" t="str">
        <f>IF(I31="   ","   ",IF(J40=0,0,0.75/(1+I19/(2*SQRT((Statik!J17+I22)*I22)))))</f>
        <v>   </v>
      </c>
      <c r="K44" s="274" t="str">
        <f>IF(I31="   ","   ",IF(K40=0,0,0.75/(1+I25/(2*SQRT((Statik!J17+I27)*I27)))))</f>
        <v>   </v>
      </c>
      <c r="L44" s="598"/>
      <c r="M44" s="437"/>
      <c r="N44" s="33"/>
      <c r="Q44" s="8"/>
      <c r="R44" s="9"/>
      <c r="S44" s="8"/>
      <c r="T44" s="8"/>
      <c r="U44" s="8"/>
      <c r="V44" s="8"/>
      <c r="W44" s="8"/>
      <c r="X44" s="8"/>
      <c r="Y44" s="8"/>
      <c r="Z44" s="8"/>
      <c r="AA44" s="9"/>
      <c r="AB44" s="9"/>
      <c r="AC44" s="9"/>
      <c r="AD44" s="9"/>
      <c r="AE44" s="9"/>
      <c r="AF44" s="9"/>
      <c r="AG44" s="9"/>
      <c r="AH44" s="9"/>
      <c r="AI44" s="9"/>
      <c r="AJ44" s="9"/>
      <c r="AK44" s="9"/>
      <c r="AL44" s="9"/>
      <c r="AM44" s="9"/>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row>
    <row r="45" spans="1:66" s="7" customFormat="1" ht="12" customHeight="1">
      <c r="A45" s="36">
        <v>44</v>
      </c>
      <c r="B45" s="1086" t="s">
        <v>263</v>
      </c>
      <c r="C45" s="656"/>
      <c r="D45" s="656"/>
      <c r="E45" s="185" t="s">
        <v>10</v>
      </c>
      <c r="F45" s="1087" t="s">
        <v>450</v>
      </c>
      <c r="G45" s="1088"/>
      <c r="H45" s="1088"/>
      <c r="I45" s="264" t="str">
        <f>IF(I31="   ","   ",IF(I40=0,0,(J35*(I40-I31)+K35*I31)*Statik!J17*I34*K34*I35/(2*I16*Statik!H44)))</f>
        <v>   </v>
      </c>
      <c r="J45" s="261" t="str">
        <f>IF(I31="   ","   ",IF(J40=0,0,(J35*(J40-I31)+K35*I31)*Statik!J17*I34*K34*I35/(2*I22*Statik!H44)))</f>
        <v>   </v>
      </c>
      <c r="K45" s="480"/>
      <c r="L45" s="584"/>
      <c r="M45" s="437"/>
      <c r="N45" s="33"/>
      <c r="Q45" s="8"/>
      <c r="R45" s="9"/>
      <c r="S45" s="8"/>
      <c r="T45" s="8"/>
      <c r="U45" s="8"/>
      <c r="V45" s="8"/>
      <c r="W45" s="8"/>
      <c r="X45" s="8"/>
      <c r="Y45" s="8"/>
      <c r="Z45" s="8"/>
      <c r="AA45" s="9"/>
      <c r="AB45" s="9"/>
      <c r="AC45" s="9"/>
      <c r="AD45" s="9"/>
      <c r="AE45" s="9"/>
      <c r="AF45" s="9"/>
      <c r="AG45" s="9"/>
      <c r="AH45" s="9"/>
      <c r="AI45" s="9"/>
      <c r="AJ45" s="9"/>
      <c r="AK45" s="9"/>
      <c r="AL45" s="9"/>
      <c r="AM45" s="9"/>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row>
    <row r="46" spans="1:66" s="7" customFormat="1" ht="12" customHeight="1">
      <c r="A46" s="36">
        <v>45</v>
      </c>
      <c r="B46" s="922"/>
      <c r="C46" s="656"/>
      <c r="D46" s="656"/>
      <c r="E46" s="185" t="s">
        <v>10</v>
      </c>
      <c r="F46" s="651" t="s">
        <v>451</v>
      </c>
      <c r="G46" s="660"/>
      <c r="H46" s="715"/>
      <c r="I46" s="266" t="str">
        <f>IF(I31="   ","   ",IF(I40=0,0,(J35*(I40-I31)+K35*K31)*Statik!J17*I34*K34*I35/(2*I16*Statik!H45)))</f>
        <v>   </v>
      </c>
      <c r="J46" s="267" t="str">
        <f>IF(I31="   ","   ",IF(J40=0,0,(J35*(J40-I31)+K35*K31)*Statik!J17*I34*K34*I35/(2*I22*Statik!H45)))</f>
        <v>   </v>
      </c>
      <c r="K46" s="265"/>
      <c r="L46" s="584"/>
      <c r="M46" s="437"/>
      <c r="N46" s="33"/>
      <c r="Q46" s="8"/>
      <c r="R46" s="9"/>
      <c r="S46" s="8"/>
      <c r="T46" s="8"/>
      <c r="U46" s="8"/>
      <c r="V46" s="8"/>
      <c r="W46" s="8"/>
      <c r="X46" s="8"/>
      <c r="Y46" s="8"/>
      <c r="Z46" s="8"/>
      <c r="AA46" s="9"/>
      <c r="AB46" s="9"/>
      <c r="AC46" s="9"/>
      <c r="AD46" s="9"/>
      <c r="AE46" s="9"/>
      <c r="AF46" s="9"/>
      <c r="AG46" s="9"/>
      <c r="AH46" s="9"/>
      <c r="AI46" s="9"/>
      <c r="AJ46" s="9"/>
      <c r="AK46" s="9"/>
      <c r="AL46" s="9"/>
      <c r="AM46" s="9"/>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row>
    <row r="47" spans="1:14" ht="12" customHeight="1">
      <c r="A47" s="36">
        <v>46</v>
      </c>
      <c r="B47" s="922" t="s">
        <v>212</v>
      </c>
      <c r="C47" s="1092"/>
      <c r="D47" s="696"/>
      <c r="E47" s="185" t="s">
        <v>148</v>
      </c>
      <c r="F47" s="648" t="s">
        <v>452</v>
      </c>
      <c r="G47" s="660"/>
      <c r="H47" s="715"/>
      <c r="I47" s="275" t="str">
        <f>IF(I31="   ","   ",IF(I40=0,0,MAX((I45/I44)/Statik!H57,(I46/I44)/Statik!H65)))</f>
        <v>   </v>
      </c>
      <c r="J47" s="276" t="str">
        <f>IF(I31="   ","   ",IF(J40=0,0,MAX((J45/J44)/Statik!H57,(J46/J44)/Statik!H65)))</f>
        <v>   </v>
      </c>
      <c r="K47" s="286"/>
      <c r="L47" s="612" t="str">
        <f>IF(I31="   ","   ",IF(AND(I47&gt;=0,I47&lt;=1,J47&gt;=0,J47&lt;=1),N26,N27))</f>
        <v>   </v>
      </c>
      <c r="N47" s="33"/>
    </row>
    <row r="48" spans="1:14" ht="12" customHeight="1">
      <c r="A48" s="36">
        <v>47</v>
      </c>
      <c r="B48" s="1165" t="s">
        <v>216</v>
      </c>
      <c r="C48" s="1166"/>
      <c r="D48" s="1167"/>
      <c r="E48" s="256" t="s">
        <v>10</v>
      </c>
      <c r="F48" s="807" t="s">
        <v>453</v>
      </c>
      <c r="G48" s="808"/>
      <c r="H48" s="809"/>
      <c r="I48" s="269" t="str">
        <f>IF(I31="   ","   ",IF(I9=N9,"   ",IF(Statik!H35=Statik!N38,MAX(Statik!F118,Statik!F132),IF(Statik!H35=Statik!N36,MAX(Statik!F120,Statik!F133),IF(Statik!H35=Statik!N37,MAX(Statik!F120,Statik!F133))))))</f>
        <v>   </v>
      </c>
      <c r="J48" s="277" t="str">
        <f>IF(I31="   ","   ",IF(I9=N9,"   ",IF(Statik!H35=Statik!N38,MAX(Statik!H118,Statik!H132),IF(Statik!H35=Statik!N36,MAX(Statik!H120,Statik!H133),IF(Statik!H35=Statik!N37,MAX(Statik!H120,Statik!H133))))))</f>
        <v>   </v>
      </c>
      <c r="K48" s="268" t="str">
        <f>IF(I31="   ","   ",IF(I9=N9,"   ",IF(Statik!H35=Statik!N38,MAX(Statik!J118,Statik!J132),IF(Statik!H35=Statik!N36,MAX(Statik!J120,Statik!J133),IF(Statik!H35=Statik!N37,MAX(Statik!J120,Statik!J133))))))</f>
        <v>   </v>
      </c>
      <c r="L48" s="313"/>
      <c r="N48" s="33"/>
    </row>
    <row r="49" spans="1:14" ht="12" customHeight="1">
      <c r="A49" s="36">
        <v>48</v>
      </c>
      <c r="B49" s="1161" t="s">
        <v>213</v>
      </c>
      <c r="C49" s="761"/>
      <c r="D49" s="761"/>
      <c r="E49" s="185" t="s">
        <v>10</v>
      </c>
      <c r="F49" s="875" t="s">
        <v>454</v>
      </c>
      <c r="G49" s="660"/>
      <c r="H49" s="715"/>
      <c r="I49" s="271" t="str">
        <f>IF(I31="   ","   ",IF(I9=N9,"   ",IF(Statik!H35=Statik!N38,0,IF(Statik!H35=Statik!N36,Statik!F119,IF(Statik!H35=Statik!N37,0)))))</f>
        <v>   </v>
      </c>
      <c r="J49" s="278" t="str">
        <f>IF(I31="   ","   ",IF(I9=N9,"   ",IF(Statik!H35=Statik!N38,0,IF(Statik!H35=Statik!N36,Statik!H119,IF(Statik!H35=Statik!N37,0)))))</f>
        <v>   </v>
      </c>
      <c r="K49" s="279" t="str">
        <f>IF(I31="   ","   ",IF(I9=N9,"   ",IF(Statik!H35=Statik!N38,0,IF(Statik!H35=Statik!N36,Statik!J119,IF(Statik!H35=Statik!N37,0)))))</f>
        <v>   </v>
      </c>
      <c r="L49" s="270"/>
      <c r="N49" s="33"/>
    </row>
    <row r="50" spans="1:14" ht="13.5" customHeight="1">
      <c r="A50" s="36">
        <v>49</v>
      </c>
      <c r="B50" s="1163" t="s">
        <v>217</v>
      </c>
      <c r="C50" s="1164"/>
      <c r="D50" s="865"/>
      <c r="E50" s="185" t="s">
        <v>10</v>
      </c>
      <c r="F50" s="1178" t="s">
        <v>455</v>
      </c>
      <c r="G50" s="1178"/>
      <c r="H50" s="1178"/>
      <c r="I50" s="282" t="str">
        <f>IF(I31="   ","   ",IF(I9=N9,"   ",(I48/(2*COS(2*PI()*(90-Statik!J15)/360)))*Statik!J17*I34*K34*I35/(I27*K44)))</f>
        <v>   </v>
      </c>
      <c r="J50" s="280" t="str">
        <f>IF(I31="   ","   ",IF(I9=N9,"   ",(J48/(2*COS(2*PI()*(90-Statik!J15)/360)))*Statik!J17*I34*K34*I35/(I27*K44)))</f>
        <v>   </v>
      </c>
      <c r="K50" s="287" t="str">
        <f>IF(I31="   ","   ",IF(I9=N9,"   ",(K48/(2*COS(2*PI()*(90-Statik!J15)/360)))*Statik!J17*I34*K34*I35/(I27*K44)))</f>
        <v>   </v>
      </c>
      <c r="L50" s="270"/>
      <c r="N50" s="33"/>
    </row>
    <row r="51" spans="1:14" ht="13.5" customHeight="1">
      <c r="A51" s="36">
        <v>50</v>
      </c>
      <c r="B51" s="262"/>
      <c r="C51" s="334"/>
      <c r="D51" s="334"/>
      <c r="E51" s="185" t="s">
        <v>10</v>
      </c>
      <c r="F51" s="1157" t="s">
        <v>456</v>
      </c>
      <c r="G51" s="1157"/>
      <c r="H51" s="1157"/>
      <c r="I51" s="283" t="str">
        <f>IF(I31="   ","   ",IF(I9=N9,"   ",(I49/(2*COS(2*PI()*(90-Statik!J15)/360)))*Statik!J17*I34*K34*I35/(I27*K44)))</f>
        <v>   </v>
      </c>
      <c r="J51" s="281" t="str">
        <f>IF(I31="   ","   ",IF(I9=N9,"   ",(J49/(2*COS(2*PI()*(90-Statik!J15)/360)))*Statik!J17*I34*K34*I35/(I27*K44)))</f>
        <v>   </v>
      </c>
      <c r="K51" s="288" t="str">
        <f>IF(I31="   ","   ",IF(I9=N9,"   ",(K49/(2*COS(2*PI()*(90-Statik!J15)/360)))*Statik!J17*I34*K34*I35/(I27*K44)))</f>
        <v>   </v>
      </c>
      <c r="L51" s="270"/>
      <c r="N51" s="33"/>
    </row>
    <row r="52" spans="1:14" ht="13.5" customHeight="1">
      <c r="A52" s="36">
        <v>51</v>
      </c>
      <c r="B52" s="922" t="s">
        <v>218</v>
      </c>
      <c r="C52" s="1092"/>
      <c r="D52" s="874"/>
      <c r="E52" s="185" t="s">
        <v>148</v>
      </c>
      <c r="F52" s="648" t="s">
        <v>452</v>
      </c>
      <c r="G52" s="660"/>
      <c r="H52" s="715"/>
      <c r="I52" s="284" t="str">
        <f>IF(I31="   ","   ",IF(I28="   ","   ",IF(I9=N9,"   ",IF(OR(Statik!H35=Statik!N37,Statik!H35=Statik!N38),I50/(K44*Statik!H60),MAX(I50/(K44*Statik!H60),I51/(K44*Statik!H61))))))</f>
        <v>   </v>
      </c>
      <c r="J52" s="285" t="str">
        <f>IF(I31="   ","   ",IF(I28="   ","   ",IF(I9=N9,"   ",IF(OR(Statik!H35=Statik!N37,Statik!H35=Statik!N38),J50/Statik!H60,J51/Statik!H64))))</f>
        <v>   </v>
      </c>
      <c r="K52" s="315" t="str">
        <f>IF(I31="   ","   ",IF(I28="   ","   ",IF(I9=N9,"   ",IF(K51=0,K50/Statik!I66,MAX(K50/Statik!K66,K51/Statik!H66)))))</f>
        <v>   </v>
      </c>
      <c r="L52" s="613" t="str">
        <f>IF(I31="   ","   ",IF(I9=N9,"   ",IF(AND(I52&gt;=0,I52&lt;=1,J52&gt;=0,J52&lt;=1,K52&gt;=0,K52&lt;=1),N26,N27)))</f>
        <v>   </v>
      </c>
      <c r="N52" s="33"/>
    </row>
    <row r="53" spans="1:14" ht="9.75" customHeight="1">
      <c r="A53" s="36">
        <v>52</v>
      </c>
      <c r="B53" s="309"/>
      <c r="C53" s="416"/>
      <c r="D53" s="334"/>
      <c r="E53" s="314"/>
      <c r="F53" s="308"/>
      <c r="G53" s="1168" t="s">
        <v>234</v>
      </c>
      <c r="H53" s="1169"/>
      <c r="I53" s="316"/>
      <c r="J53" s="317"/>
      <c r="K53" s="289"/>
      <c r="L53" s="613"/>
      <c r="N53" s="33"/>
    </row>
    <row r="54" spans="1:14" ht="12.75" customHeight="1">
      <c r="A54" s="36">
        <v>53</v>
      </c>
      <c r="B54" s="1158" t="s">
        <v>6</v>
      </c>
      <c r="C54" s="1159"/>
      <c r="D54" s="1160"/>
      <c r="E54" s="1044"/>
      <c r="F54" s="1045"/>
      <c r="G54" s="1045"/>
      <c r="H54" s="1045"/>
      <c r="I54" s="1045"/>
      <c r="J54" s="1045"/>
      <c r="K54" s="1045"/>
      <c r="L54" s="1046"/>
      <c r="N54" s="33"/>
    </row>
    <row r="55" spans="1:14" ht="12.75" customHeight="1">
      <c r="A55" s="82">
        <v>54</v>
      </c>
      <c r="B55" s="1162">
        <f ca="1">TODAY()</f>
        <v>39037</v>
      </c>
      <c r="C55" s="1052"/>
      <c r="D55" s="1053"/>
      <c r="E55" s="1054" t="s">
        <v>4</v>
      </c>
      <c r="F55" s="1052"/>
      <c r="G55" s="1053"/>
      <c r="H55" s="1039"/>
      <c r="I55" s="1040"/>
      <c r="J55" s="1041"/>
      <c r="K55" s="1039"/>
      <c r="L55" s="1050"/>
      <c r="N55" s="33"/>
    </row>
    <row r="56" spans="1:12" ht="11.25">
      <c r="A56" s="157"/>
      <c r="B56" s="1042" t="s">
        <v>260</v>
      </c>
      <c r="C56" s="1181"/>
      <c r="D56" s="1181"/>
      <c r="E56" s="20"/>
      <c r="F56" s="20"/>
      <c r="G56" s="15"/>
      <c r="H56" s="15"/>
      <c r="I56" s="15"/>
      <c r="J56" s="15"/>
      <c r="K56" s="15"/>
      <c r="L56" s="15"/>
    </row>
    <row r="57" spans="1:12" ht="11.25">
      <c r="A57" s="157"/>
      <c r="B57" s="20"/>
      <c r="C57" s="20"/>
      <c r="D57" s="20"/>
      <c r="E57" s="20"/>
      <c r="F57" s="20"/>
      <c r="G57" s="15"/>
      <c r="H57" s="15"/>
      <c r="I57" s="15"/>
      <c r="J57" s="15"/>
      <c r="K57" s="15"/>
      <c r="L57" s="15"/>
    </row>
    <row r="58" spans="1:12" ht="11.25">
      <c r="A58" s="157"/>
      <c r="B58" s="20"/>
      <c r="C58" s="20"/>
      <c r="D58" s="20"/>
      <c r="E58" s="20"/>
      <c r="F58" s="20"/>
      <c r="G58" s="15"/>
      <c r="H58" s="15"/>
      <c r="I58" s="15"/>
      <c r="J58" s="15"/>
      <c r="K58" s="15"/>
      <c r="L58" s="15"/>
    </row>
    <row r="59" spans="1:12" ht="11.25">
      <c r="A59" s="157"/>
      <c r="B59" s="20"/>
      <c r="C59" s="20"/>
      <c r="D59" s="20"/>
      <c r="E59" s="20"/>
      <c r="F59" s="20"/>
      <c r="G59" s="15"/>
      <c r="H59" s="15"/>
      <c r="I59" s="15"/>
      <c r="J59" s="15"/>
      <c r="K59" s="15"/>
      <c r="L59" s="15"/>
    </row>
    <row r="60" spans="1:12" ht="11.25">
      <c r="A60" s="157"/>
      <c r="B60" s="20"/>
      <c r="C60" s="20"/>
      <c r="D60" s="20"/>
      <c r="E60" s="20"/>
      <c r="F60" s="20"/>
      <c r="G60" s="15"/>
      <c r="H60" s="15"/>
      <c r="I60" s="15"/>
      <c r="J60" s="15"/>
      <c r="K60" s="15"/>
      <c r="L60" s="15"/>
    </row>
    <row r="61" spans="1:12" ht="11.25">
      <c r="A61" s="157"/>
      <c r="B61" s="20"/>
      <c r="C61" s="20"/>
      <c r="D61" s="20"/>
      <c r="E61" s="20"/>
      <c r="F61" s="20"/>
      <c r="G61" s="15"/>
      <c r="H61" s="15"/>
      <c r="I61" s="15"/>
      <c r="J61" s="15"/>
      <c r="K61" s="15"/>
      <c r="L61" s="15"/>
    </row>
    <row r="62" spans="1:12" ht="11.25">
      <c r="A62" s="157"/>
      <c r="B62" s="20"/>
      <c r="C62" s="20"/>
      <c r="D62" s="20"/>
      <c r="E62" s="20"/>
      <c r="F62" s="20"/>
      <c r="G62" s="15"/>
      <c r="H62" s="15"/>
      <c r="I62" s="15"/>
      <c r="J62" s="15"/>
      <c r="K62" s="15"/>
      <c r="L62" s="15"/>
    </row>
    <row r="63" spans="1:12" ht="11.25">
      <c r="A63" s="157"/>
      <c r="B63" s="20"/>
      <c r="C63" s="20"/>
      <c r="D63" s="20"/>
      <c r="E63" s="20"/>
      <c r="F63" s="20"/>
      <c r="G63" s="15"/>
      <c r="H63" s="15"/>
      <c r="I63" s="15"/>
      <c r="J63" s="15"/>
      <c r="K63" s="15"/>
      <c r="L63" s="15"/>
    </row>
    <row r="64" spans="1:12" ht="11.25">
      <c r="A64" s="157"/>
      <c r="B64" s="20"/>
      <c r="C64" s="20"/>
      <c r="D64" s="20"/>
      <c r="E64" s="20"/>
      <c r="F64" s="20"/>
      <c r="G64" s="15"/>
      <c r="H64" s="15"/>
      <c r="I64" s="15"/>
      <c r="J64" s="15"/>
      <c r="K64" s="15"/>
      <c r="L64" s="15"/>
    </row>
    <row r="65" spans="1:12" ht="11.25">
      <c r="A65" s="157"/>
      <c r="B65" s="20"/>
      <c r="C65" s="20"/>
      <c r="D65" s="20"/>
      <c r="E65" s="20"/>
      <c r="F65" s="20"/>
      <c r="G65" s="15"/>
      <c r="H65" s="15"/>
      <c r="I65" s="15"/>
      <c r="J65" s="15"/>
      <c r="K65" s="15"/>
      <c r="L65" s="15"/>
    </row>
    <row r="66" spans="1:12" ht="11.25">
      <c r="A66" s="157"/>
      <c r="B66" s="20"/>
      <c r="C66" s="20"/>
      <c r="D66" s="20"/>
      <c r="E66" s="20"/>
      <c r="F66" s="20"/>
      <c r="G66" s="15"/>
      <c r="H66" s="15"/>
      <c r="I66" s="15"/>
      <c r="J66" s="15"/>
      <c r="K66" s="15"/>
      <c r="L66" s="15"/>
    </row>
    <row r="67" spans="1:12" ht="11.25">
      <c r="A67" s="157"/>
      <c r="B67" s="20"/>
      <c r="C67" s="20"/>
      <c r="D67" s="20"/>
      <c r="E67" s="20"/>
      <c r="F67" s="20"/>
      <c r="G67" s="15"/>
      <c r="H67" s="15"/>
      <c r="I67" s="15"/>
      <c r="J67" s="15"/>
      <c r="K67" s="15"/>
      <c r="L67" s="15"/>
    </row>
    <row r="68" spans="1:12" ht="11.25">
      <c r="A68" s="157"/>
      <c r="B68" s="20"/>
      <c r="C68" s="20"/>
      <c r="D68" s="20"/>
      <c r="E68" s="20"/>
      <c r="F68" s="20"/>
      <c r="G68" s="15"/>
      <c r="H68" s="15"/>
      <c r="I68" s="15"/>
      <c r="J68" s="15"/>
      <c r="K68" s="15"/>
      <c r="L68" s="15"/>
    </row>
    <row r="69" spans="1:12" ht="11.25">
      <c r="A69" s="157"/>
      <c r="B69" s="20"/>
      <c r="C69" s="20"/>
      <c r="D69" s="20"/>
      <c r="E69" s="20"/>
      <c r="F69" s="20"/>
      <c r="G69" s="15"/>
      <c r="H69" s="15"/>
      <c r="I69" s="15"/>
      <c r="J69" s="15"/>
      <c r="K69" s="15"/>
      <c r="L69" s="15"/>
    </row>
    <row r="70" spans="1:12" ht="11.25">
      <c r="A70" s="157"/>
      <c r="B70" s="20"/>
      <c r="C70" s="20"/>
      <c r="D70" s="20"/>
      <c r="E70" s="20"/>
      <c r="F70" s="20"/>
      <c r="G70" s="15"/>
      <c r="H70" s="15"/>
      <c r="I70" s="15"/>
      <c r="J70" s="15"/>
      <c r="K70" s="15"/>
      <c r="L70" s="15"/>
    </row>
    <row r="71" spans="1:12" ht="11.25">
      <c r="A71" s="157"/>
      <c r="B71" s="20"/>
      <c r="C71" s="20"/>
      <c r="D71" s="20"/>
      <c r="E71" s="20"/>
      <c r="F71" s="20"/>
      <c r="G71" s="15"/>
      <c r="H71" s="15"/>
      <c r="I71" s="15"/>
      <c r="J71" s="15"/>
      <c r="K71" s="15"/>
      <c r="L71" s="15"/>
    </row>
    <row r="72" spans="1:12" ht="11.25">
      <c r="A72" s="157"/>
      <c r="B72" s="20"/>
      <c r="C72" s="20"/>
      <c r="D72" s="20"/>
      <c r="E72" s="20"/>
      <c r="F72" s="20"/>
      <c r="G72" s="15"/>
      <c r="H72" s="15"/>
      <c r="I72" s="15"/>
      <c r="J72" s="15"/>
      <c r="K72" s="15"/>
      <c r="L72" s="15"/>
    </row>
    <row r="73" spans="1:12" ht="11.25">
      <c r="A73" s="157"/>
      <c r="B73" s="20"/>
      <c r="C73" s="20"/>
      <c r="D73" s="20"/>
      <c r="E73" s="20"/>
      <c r="F73" s="20"/>
      <c r="G73" s="15"/>
      <c r="H73" s="15"/>
      <c r="I73" s="15"/>
      <c r="J73" s="15"/>
      <c r="K73" s="15"/>
      <c r="L73" s="15"/>
    </row>
    <row r="74" spans="1:12" ht="11.25">
      <c r="A74" s="157"/>
      <c r="B74" s="20"/>
      <c r="C74" s="20"/>
      <c r="D74" s="20"/>
      <c r="E74" s="20"/>
      <c r="F74" s="20"/>
      <c r="G74" s="15"/>
      <c r="H74" s="15"/>
      <c r="I74" s="15"/>
      <c r="J74" s="15"/>
      <c r="K74" s="15"/>
      <c r="L74" s="15"/>
    </row>
    <row r="140" ht="11.25">
      <c r="N140" s="114"/>
    </row>
  </sheetData>
  <sheetProtection password="9895" sheet="1" objects="1" scenarios="1"/>
  <mergeCells count="105">
    <mergeCell ref="B56:D56"/>
    <mergeCell ref="F19:G19"/>
    <mergeCell ref="I19:K19"/>
    <mergeCell ref="F22:G22"/>
    <mergeCell ref="B34:D34"/>
    <mergeCell ref="E54:L54"/>
    <mergeCell ref="F48:H48"/>
    <mergeCell ref="B39:D39"/>
    <mergeCell ref="B43:J43"/>
    <mergeCell ref="B35:D35"/>
    <mergeCell ref="L22:L23"/>
    <mergeCell ref="L16:L17"/>
    <mergeCell ref="F20:G20"/>
    <mergeCell ref="F17:G17"/>
    <mergeCell ref="I20:K20"/>
    <mergeCell ref="F18:K18"/>
    <mergeCell ref="F16:G16"/>
    <mergeCell ref="H16:H17"/>
    <mergeCell ref="I16:K17"/>
    <mergeCell ref="F21:G21"/>
    <mergeCell ref="B36:D36"/>
    <mergeCell ref="F28:G28"/>
    <mergeCell ref="I28:K28"/>
    <mergeCell ref="H55:J55"/>
    <mergeCell ref="I38:K38"/>
    <mergeCell ref="I39:K39"/>
    <mergeCell ref="F38:H38"/>
    <mergeCell ref="F45:H45"/>
    <mergeCell ref="F40:H40"/>
    <mergeCell ref="F50:H50"/>
    <mergeCell ref="B55:D55"/>
    <mergeCell ref="E55:G55"/>
    <mergeCell ref="B44:D44"/>
    <mergeCell ref="B38:D38"/>
    <mergeCell ref="B50:D50"/>
    <mergeCell ref="B52:D52"/>
    <mergeCell ref="F49:H49"/>
    <mergeCell ref="B48:D48"/>
    <mergeCell ref="B47:D47"/>
    <mergeCell ref="G53:H53"/>
    <mergeCell ref="K55:L55"/>
    <mergeCell ref="F33:H33"/>
    <mergeCell ref="F47:H47"/>
    <mergeCell ref="F39:H39"/>
    <mergeCell ref="F36:H36"/>
    <mergeCell ref="F52:H52"/>
    <mergeCell ref="F51:H51"/>
    <mergeCell ref="B37:F37"/>
    <mergeCell ref="B54:D54"/>
    <mergeCell ref="B49:D49"/>
    <mergeCell ref="I25:K25"/>
    <mergeCell ref="F27:G27"/>
    <mergeCell ref="I27:K27"/>
    <mergeCell ref="I21:K21"/>
    <mergeCell ref="I26:K26"/>
    <mergeCell ref="H22:H23"/>
    <mergeCell ref="I22:K23"/>
    <mergeCell ref="F25:G25"/>
    <mergeCell ref="F23:G23"/>
    <mergeCell ref="F24:L24"/>
    <mergeCell ref="B33:D33"/>
    <mergeCell ref="F31:H31"/>
    <mergeCell ref="B31:D31"/>
    <mergeCell ref="I30:K30"/>
    <mergeCell ref="I33:K33"/>
    <mergeCell ref="F32:H32"/>
    <mergeCell ref="B30:H30"/>
    <mergeCell ref="D8:E8"/>
    <mergeCell ref="F8:G8"/>
    <mergeCell ref="B10:D10"/>
    <mergeCell ref="D1:K1"/>
    <mergeCell ref="D3:L3"/>
    <mergeCell ref="B4:L4"/>
    <mergeCell ref="D2:L2"/>
    <mergeCell ref="B1:C1"/>
    <mergeCell ref="I13:K13"/>
    <mergeCell ref="I14:K14"/>
    <mergeCell ref="F9:G9"/>
    <mergeCell ref="B5:L5"/>
    <mergeCell ref="B6:L6"/>
    <mergeCell ref="I11:K11"/>
    <mergeCell ref="F12:L12"/>
    <mergeCell ref="I10:K10"/>
    <mergeCell ref="I9:K9"/>
    <mergeCell ref="F10:G10"/>
    <mergeCell ref="F13:G13"/>
    <mergeCell ref="H7:I7"/>
    <mergeCell ref="B41:D41"/>
    <mergeCell ref="F26:G26"/>
    <mergeCell ref="I29:K29"/>
    <mergeCell ref="F29:H29"/>
    <mergeCell ref="D7:E7"/>
    <mergeCell ref="F14:G14"/>
    <mergeCell ref="I15:K15"/>
    <mergeCell ref="F15:G15"/>
    <mergeCell ref="B45:D46"/>
    <mergeCell ref="F46:H46"/>
    <mergeCell ref="I8:K8"/>
    <mergeCell ref="F41:H41"/>
    <mergeCell ref="B40:D40"/>
    <mergeCell ref="B42:D42"/>
    <mergeCell ref="F34:H34"/>
    <mergeCell ref="I36:K36"/>
    <mergeCell ref="B32:D32"/>
    <mergeCell ref="F11:G11"/>
  </mergeCells>
  <dataValidations count="2">
    <dataValidation type="list" allowBlank="1" showInputMessage="1" showErrorMessage="1" sqref="I10">
      <formula1>alleplaste</formula1>
    </dataValidation>
    <dataValidation type="list" allowBlank="1" showInputMessage="1" showErrorMessage="1" sqref="I9:K9">
      <formula1>$N$9:$N$11</formula1>
    </dataValidation>
  </dataValidations>
  <printOptions/>
  <pageMargins left="0.7874015748031497" right="0.4330708661417323" top="0.8267716535433072" bottom="0" header="0.5905511811023623" footer="0"/>
  <pageSetup horizontalDpi="300" verticalDpi="300" orientation="portrait" paperSize="9" r:id="rId5"/>
  <headerFooter alignWithMargins="0">
    <oddHeader>&amp;L&amp;9   Technische Berechnung : Behälter und Apparate aus Thermoplasten</oddHeader>
  </headerFooter>
  <rowBreaks count="1" manualBreakCount="1">
    <brk id="74" max="255" man="1"/>
  </rowBreaks>
  <drawing r:id="rId4"/>
  <legacyDrawing r:id="rId3"/>
  <oleObjects>
    <oleObject progId="TurboCAD.Drawing.4" shapeId="339110" r:id="rId2"/>
  </oleObjects>
</worksheet>
</file>

<file path=xl/worksheets/sheet3.xml><?xml version="1.0" encoding="utf-8"?>
<worksheet xmlns="http://schemas.openxmlformats.org/spreadsheetml/2006/main" xmlns:r="http://schemas.openxmlformats.org/officeDocument/2006/relationships">
  <sheetPr>
    <tabColor indexed="34"/>
  </sheetPr>
  <dimension ref="A1:BM137"/>
  <sheetViews>
    <sheetView showGridLines="0" showRowColHeaders="0" zoomScale="140" zoomScaleNormal="140" workbookViewId="0" topLeftCell="A1">
      <selection activeCell="N20" sqref="N20"/>
    </sheetView>
  </sheetViews>
  <sheetFormatPr defaultColWidth="11.421875" defaultRowHeight="12.75"/>
  <cols>
    <col min="1" max="1" width="3.140625" style="23" customWidth="1"/>
    <col min="2" max="2" width="14.7109375" style="16" customWidth="1"/>
    <col min="3" max="6" width="7.28125" style="16" customWidth="1"/>
    <col min="7" max="8" width="7.28125" style="17" customWidth="1"/>
    <col min="9" max="10" width="10.7109375" style="17" customWidth="1"/>
    <col min="11" max="11" width="8.00390625" style="17" customWidth="1"/>
    <col min="12" max="12" width="6.7109375" style="17" customWidth="1"/>
    <col min="13" max="13" width="25.57421875" style="113" hidden="1" customWidth="1"/>
    <col min="14" max="14" width="25.421875" style="16" customWidth="1"/>
    <col min="15" max="15" width="10.28125" style="16" customWidth="1"/>
    <col min="16" max="16" width="22.140625" style="11" customWidth="1"/>
    <col min="17" max="17" width="28.140625" style="12" customWidth="1"/>
    <col min="18" max="18" width="5.7109375" style="11" customWidth="1"/>
    <col min="19" max="19" width="7.00390625" style="11" customWidth="1"/>
    <col min="20" max="20" width="9.140625" style="11" customWidth="1"/>
    <col min="21" max="22" width="5.7109375" style="11" customWidth="1"/>
    <col min="23" max="25" width="10.28125" style="11" customWidth="1"/>
    <col min="26" max="38" width="5.7109375" style="12" customWidth="1"/>
    <col min="39" max="65" width="5.7109375" style="13" customWidth="1"/>
    <col min="66" max="16384" width="10.28125" style="16" customWidth="1"/>
  </cols>
  <sheetData>
    <row r="1" spans="1:65" s="7" customFormat="1" ht="15" customHeight="1">
      <c r="A1" s="35">
        <v>1</v>
      </c>
      <c r="B1" s="1131" t="s">
        <v>9</v>
      </c>
      <c r="C1" s="1132"/>
      <c r="D1" s="1129"/>
      <c r="E1" s="1130"/>
      <c r="F1" s="1130"/>
      <c r="G1" s="1130"/>
      <c r="H1" s="1130"/>
      <c r="I1" s="1130"/>
      <c r="J1" s="1130"/>
      <c r="K1" s="415"/>
      <c r="L1" s="38"/>
      <c r="M1" s="111"/>
      <c r="P1" s="8"/>
      <c r="Q1" s="9"/>
      <c r="R1" s="8"/>
      <c r="S1" s="8"/>
      <c r="T1" s="8"/>
      <c r="U1" s="8"/>
      <c r="V1" s="8"/>
      <c r="W1" s="8"/>
      <c r="X1" s="8"/>
      <c r="Y1" s="8"/>
      <c r="Z1" s="9"/>
      <c r="AA1" s="9"/>
      <c r="AB1" s="9"/>
      <c r="AC1" s="9"/>
      <c r="AD1" s="9"/>
      <c r="AE1" s="9"/>
      <c r="AF1" s="9"/>
      <c r="AG1" s="9"/>
      <c r="AH1" s="9"/>
      <c r="AI1" s="9"/>
      <c r="AJ1" s="9"/>
      <c r="AK1" s="9"/>
      <c r="AL1" s="9"/>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row>
    <row r="2" spans="1:13" ht="12.75" customHeight="1">
      <c r="A2" s="36">
        <v>2</v>
      </c>
      <c r="B2" s="37" t="s">
        <v>38</v>
      </c>
      <c r="C2" s="332"/>
      <c r="D2" s="950" t="s">
        <v>197</v>
      </c>
      <c r="E2" s="951"/>
      <c r="F2" s="951"/>
      <c r="G2" s="951"/>
      <c r="H2" s="951"/>
      <c r="I2" s="951"/>
      <c r="J2" s="951"/>
      <c r="K2" s="952"/>
      <c r="L2" s="290"/>
      <c r="M2" s="112"/>
    </row>
    <row r="3" spans="1:13" ht="12.75" customHeight="1">
      <c r="A3" s="36">
        <v>3</v>
      </c>
      <c r="B3" s="38" t="s">
        <v>39</v>
      </c>
      <c r="C3" s="333"/>
      <c r="D3" s="946" t="s">
        <v>152</v>
      </c>
      <c r="E3" s="761"/>
      <c r="F3" s="761"/>
      <c r="G3" s="761"/>
      <c r="H3" s="761"/>
      <c r="I3" s="761"/>
      <c r="J3" s="761"/>
      <c r="K3" s="762"/>
      <c r="L3" s="416"/>
      <c r="M3" s="33"/>
    </row>
    <row r="4" spans="1:13" ht="12.75" customHeight="1">
      <c r="A4" s="36">
        <v>4</v>
      </c>
      <c r="B4" s="947" t="s">
        <v>489</v>
      </c>
      <c r="C4" s="948"/>
      <c r="D4" s="948"/>
      <c r="E4" s="948"/>
      <c r="F4" s="948"/>
      <c r="G4" s="948"/>
      <c r="H4" s="948"/>
      <c r="I4" s="948"/>
      <c r="J4" s="948"/>
      <c r="K4" s="949"/>
      <c r="L4" s="417"/>
      <c r="M4" s="40"/>
    </row>
    <row r="5" spans="1:65" s="7" customFormat="1" ht="18" customHeight="1">
      <c r="A5" s="36">
        <v>5</v>
      </c>
      <c r="B5" s="1210" t="s">
        <v>264</v>
      </c>
      <c r="C5" s="1109"/>
      <c r="D5" s="1109"/>
      <c r="E5" s="1109"/>
      <c r="F5" s="1109"/>
      <c r="G5" s="1109"/>
      <c r="H5" s="1109"/>
      <c r="I5" s="1109"/>
      <c r="J5" s="1109"/>
      <c r="K5" s="1110"/>
      <c r="L5" s="290"/>
      <c r="M5" s="40"/>
      <c r="P5" s="8"/>
      <c r="Q5" s="9"/>
      <c r="R5" s="8"/>
      <c r="S5" s="8"/>
      <c r="T5" s="8"/>
      <c r="U5" s="8"/>
      <c r="V5" s="8"/>
      <c r="W5" s="8"/>
      <c r="X5" s="8"/>
      <c r="Y5" s="8"/>
      <c r="Z5" s="9"/>
      <c r="AA5" s="9"/>
      <c r="AB5" s="9"/>
      <c r="AC5" s="9"/>
      <c r="AD5" s="9"/>
      <c r="AE5" s="9"/>
      <c r="AF5" s="9"/>
      <c r="AG5" s="9"/>
      <c r="AH5" s="9"/>
      <c r="AI5" s="9"/>
      <c r="AJ5" s="9"/>
      <c r="AK5" s="9"/>
      <c r="AL5" s="9"/>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row>
    <row r="6" spans="1:65" s="7" customFormat="1" ht="18" customHeight="1">
      <c r="A6" s="36">
        <v>6</v>
      </c>
      <c r="B6" s="912" t="s">
        <v>142</v>
      </c>
      <c r="C6" s="913"/>
      <c r="D6" s="913"/>
      <c r="E6" s="913"/>
      <c r="F6" s="913"/>
      <c r="G6" s="913"/>
      <c r="H6" s="913"/>
      <c r="I6" s="913"/>
      <c r="J6" s="913"/>
      <c r="K6" s="914"/>
      <c r="L6" s="20"/>
      <c r="M6" s="45"/>
      <c r="N6" s="342"/>
      <c r="O6" s="342"/>
      <c r="P6" s="342"/>
      <c r="Q6" s="342"/>
      <c r="R6" s="342"/>
      <c r="S6" s="8"/>
      <c r="T6" s="8"/>
      <c r="U6" s="8"/>
      <c r="V6" s="8"/>
      <c r="W6" s="8"/>
      <c r="X6" s="8"/>
      <c r="Y6" s="8"/>
      <c r="Z6" s="9"/>
      <c r="AA6" s="9"/>
      <c r="AB6" s="9"/>
      <c r="AC6" s="9"/>
      <c r="AD6" s="9"/>
      <c r="AE6" s="9"/>
      <c r="AF6" s="9"/>
      <c r="AG6" s="9"/>
      <c r="AH6" s="9"/>
      <c r="AI6" s="9"/>
      <c r="AJ6" s="9"/>
      <c r="AK6" s="9"/>
      <c r="AL6" s="9"/>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row>
    <row r="7" spans="1:65" s="7" customFormat="1" ht="13.5" customHeight="1">
      <c r="A7" s="36">
        <v>7</v>
      </c>
      <c r="B7" s="236"/>
      <c r="C7" s="418"/>
      <c r="D7" s="418"/>
      <c r="E7" s="418"/>
      <c r="F7" s="1125" t="s">
        <v>177</v>
      </c>
      <c r="G7" s="1126"/>
      <c r="H7" s="816" t="str">
        <f>IF(Statik!H172=Statik!N172,M15,M16)</f>
        <v>nicht erfüllt</v>
      </c>
      <c r="I7" s="816"/>
      <c r="J7" s="816"/>
      <c r="K7" s="1244"/>
      <c r="L7" s="20"/>
      <c r="M7" s="45"/>
      <c r="N7" s="342"/>
      <c r="O7" s="342"/>
      <c r="P7" s="342"/>
      <c r="Q7" s="342"/>
      <c r="R7" s="342"/>
      <c r="S7" s="8"/>
      <c r="T7" s="8"/>
      <c r="U7" s="8"/>
      <c r="V7" s="8"/>
      <c r="W7" s="8"/>
      <c r="X7" s="8"/>
      <c r="Y7" s="8"/>
      <c r="Z7" s="9"/>
      <c r="AA7" s="9"/>
      <c r="AB7" s="9"/>
      <c r="AC7" s="9"/>
      <c r="AD7" s="9"/>
      <c r="AE7" s="9"/>
      <c r="AF7" s="9"/>
      <c r="AG7" s="9"/>
      <c r="AH7" s="9"/>
      <c r="AI7" s="9"/>
      <c r="AJ7" s="9"/>
      <c r="AK7" s="9"/>
      <c r="AL7" s="9"/>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row>
    <row r="8" spans="1:65" s="7" customFormat="1" ht="15.75" customHeight="1">
      <c r="A8" s="36">
        <v>8</v>
      </c>
      <c r="B8" s="62"/>
      <c r="C8" s="358"/>
      <c r="D8" s="419"/>
      <c r="E8" s="21"/>
      <c r="F8" s="1246" t="s">
        <v>265</v>
      </c>
      <c r="G8" s="1247"/>
      <c r="H8" s="1247"/>
      <c r="I8" s="1247"/>
      <c r="J8" s="1247"/>
      <c r="K8" s="420"/>
      <c r="L8" s="421"/>
      <c r="M8" s="33"/>
      <c r="P8" s="8"/>
      <c r="Q8" s="9"/>
      <c r="R8" s="8"/>
      <c r="S8" s="8"/>
      <c r="T8" s="8"/>
      <c r="U8" s="8"/>
      <c r="V8" s="8"/>
      <c r="W8" s="8"/>
      <c r="X8" s="8"/>
      <c r="Y8" s="8"/>
      <c r="Z8" s="9"/>
      <c r="AA8" s="9"/>
      <c r="AB8" s="9"/>
      <c r="AC8" s="9"/>
      <c r="AD8" s="9"/>
      <c r="AE8" s="9"/>
      <c r="AF8" s="9"/>
      <c r="AG8" s="9"/>
      <c r="AH8" s="9"/>
      <c r="AI8" s="9"/>
      <c r="AJ8" s="9"/>
      <c r="AK8" s="9"/>
      <c r="AL8" s="9"/>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row>
    <row r="9" spans="1:65" s="7" customFormat="1" ht="15.75" customHeight="1">
      <c r="A9" s="36">
        <v>9</v>
      </c>
      <c r="B9" s="62"/>
      <c r="C9" s="358"/>
      <c r="D9" s="419"/>
      <c r="E9" s="21"/>
      <c r="F9" s="917" t="s">
        <v>5</v>
      </c>
      <c r="G9" s="1097"/>
      <c r="H9" s="562" t="s">
        <v>95</v>
      </c>
      <c r="I9" s="1211" t="s">
        <v>0</v>
      </c>
      <c r="J9" s="1212"/>
      <c r="K9" s="530" t="s">
        <v>34</v>
      </c>
      <c r="M9" s="33"/>
      <c r="P9" s="8"/>
      <c r="Q9" s="9"/>
      <c r="R9" s="8"/>
      <c r="S9" s="8"/>
      <c r="T9" s="8"/>
      <c r="U9" s="8"/>
      <c r="V9" s="8"/>
      <c r="W9" s="8"/>
      <c r="X9" s="8"/>
      <c r="Y9" s="8"/>
      <c r="Z9" s="9"/>
      <c r="AA9" s="9"/>
      <c r="AB9" s="9"/>
      <c r="AC9" s="9"/>
      <c r="AD9" s="9"/>
      <c r="AE9" s="9"/>
      <c r="AF9" s="9"/>
      <c r="AG9" s="9"/>
      <c r="AH9" s="9"/>
      <c r="AI9" s="9"/>
      <c r="AJ9" s="9"/>
      <c r="AK9" s="9"/>
      <c r="AL9" s="9"/>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row>
    <row r="10" spans="1:65" s="7" customFormat="1" ht="13.5" customHeight="1">
      <c r="A10" s="36">
        <v>10</v>
      </c>
      <c r="B10" s="63"/>
      <c r="C10" s="21"/>
      <c r="D10" s="358"/>
      <c r="E10" s="21"/>
      <c r="F10" s="922" t="s">
        <v>187</v>
      </c>
      <c r="G10" s="656"/>
      <c r="H10" s="295" t="s">
        <v>492</v>
      </c>
      <c r="I10" s="1013"/>
      <c r="J10" s="1015"/>
      <c r="K10" s="585"/>
      <c r="L10" s="421"/>
      <c r="M10" s="33"/>
      <c r="P10" s="8"/>
      <c r="Q10" s="9"/>
      <c r="R10" s="8"/>
      <c r="S10" s="8"/>
      <c r="T10" s="8"/>
      <c r="U10" s="8"/>
      <c r="V10" s="8"/>
      <c r="W10" s="8"/>
      <c r="X10" s="8"/>
      <c r="Y10" s="8"/>
      <c r="Z10" s="9"/>
      <c r="AA10" s="9"/>
      <c r="AB10" s="9"/>
      <c r="AC10" s="9"/>
      <c r="AD10" s="9"/>
      <c r="AE10" s="9"/>
      <c r="AF10" s="9"/>
      <c r="AG10" s="9"/>
      <c r="AH10" s="9"/>
      <c r="AI10" s="9"/>
      <c r="AJ10" s="9"/>
      <c r="AK10" s="9"/>
      <c r="AL10" s="9"/>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row>
    <row r="11" spans="1:65" s="7" customFormat="1" ht="12" customHeight="1">
      <c r="A11" s="36">
        <v>11</v>
      </c>
      <c r="B11" s="63"/>
      <c r="C11" s="21"/>
      <c r="D11" s="358"/>
      <c r="E11" s="21"/>
      <c r="F11" s="1218" t="s">
        <v>196</v>
      </c>
      <c r="G11" s="1219"/>
      <c r="H11" s="297" t="s">
        <v>185</v>
      </c>
      <c r="I11" s="304">
        <f>IF(AND(H7=M15,I10&gt;=10,I10&lt;=30),Statik!J19,0)</f>
        <v>0</v>
      </c>
      <c r="J11" s="422">
        <f>IF(AND(H7=M15,I10&gt;=10,I10&lt;=30),3*Statik!J19,0)</f>
        <v>0</v>
      </c>
      <c r="K11" s="614"/>
      <c r="L11" s="421"/>
      <c r="M11" s="33"/>
      <c r="P11" s="8"/>
      <c r="Q11" s="9"/>
      <c r="R11" s="8"/>
      <c r="S11" s="8"/>
      <c r="T11" s="8"/>
      <c r="U11" s="8"/>
      <c r="V11" s="8"/>
      <c r="W11" s="8"/>
      <c r="X11" s="8"/>
      <c r="Y11" s="8"/>
      <c r="Z11" s="9"/>
      <c r="AA11" s="9"/>
      <c r="AB11" s="9"/>
      <c r="AC11" s="9"/>
      <c r="AD11" s="9"/>
      <c r="AE11" s="9"/>
      <c r="AF11" s="9"/>
      <c r="AG11" s="9"/>
      <c r="AH11" s="9"/>
      <c r="AI11" s="9"/>
      <c r="AJ11" s="9"/>
      <c r="AK11" s="9"/>
      <c r="AL11" s="9"/>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row>
    <row r="12" spans="1:65" s="7" customFormat="1" ht="13.5" customHeight="1">
      <c r="A12" s="36">
        <v>12</v>
      </c>
      <c r="B12" s="62"/>
      <c r="C12" s="358"/>
      <c r="D12" s="358"/>
      <c r="E12" s="358"/>
      <c r="F12" s="1251" t="s">
        <v>457</v>
      </c>
      <c r="G12" s="978"/>
      <c r="H12" s="571" t="s">
        <v>458</v>
      </c>
      <c r="I12" s="673"/>
      <c r="J12" s="1107"/>
      <c r="K12" s="603" t="str">
        <f>IF(H7=M16,"   ",IF(AND(H7=M15,I10&gt;=10,I10&lt;=30,I12&gt;=I11,I12&lt;=J11),M15,M16))</f>
        <v>   </v>
      </c>
      <c r="L12" s="421"/>
      <c r="M12" s="33"/>
      <c r="P12" s="8"/>
      <c r="Q12" s="9"/>
      <c r="R12" s="8"/>
      <c r="S12" s="8"/>
      <c r="T12" s="8"/>
      <c r="U12" s="8"/>
      <c r="V12" s="8"/>
      <c r="W12" s="8"/>
      <c r="X12" s="8"/>
      <c r="Y12" s="8"/>
      <c r="Z12" s="9"/>
      <c r="AA12" s="9"/>
      <c r="AB12" s="9"/>
      <c r="AC12" s="9"/>
      <c r="AD12" s="9"/>
      <c r="AE12" s="9"/>
      <c r="AF12" s="9"/>
      <c r="AG12" s="9"/>
      <c r="AH12" s="9"/>
      <c r="AI12" s="9"/>
      <c r="AJ12" s="9"/>
      <c r="AK12" s="9"/>
      <c r="AL12" s="9"/>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row>
    <row r="13" spans="1:65" s="7" customFormat="1" ht="13.5" customHeight="1">
      <c r="A13" s="36">
        <v>13</v>
      </c>
      <c r="B13" s="66"/>
      <c r="C13" s="424"/>
      <c r="D13" s="358"/>
      <c r="E13" s="358"/>
      <c r="F13" s="922" t="s">
        <v>459</v>
      </c>
      <c r="G13" s="852"/>
      <c r="H13" s="176" t="s">
        <v>460</v>
      </c>
      <c r="I13" s="673"/>
      <c r="J13" s="1107"/>
      <c r="K13" s="353"/>
      <c r="L13" s="421"/>
      <c r="M13" s="33"/>
      <c r="P13" s="8"/>
      <c r="Q13" s="9"/>
      <c r="R13" s="8"/>
      <c r="S13" s="8"/>
      <c r="T13" s="8"/>
      <c r="U13" s="8"/>
      <c r="V13" s="8"/>
      <c r="W13" s="8"/>
      <c r="X13" s="8"/>
      <c r="Y13" s="8"/>
      <c r="Z13" s="9"/>
      <c r="AA13" s="9"/>
      <c r="AB13" s="9"/>
      <c r="AC13" s="9"/>
      <c r="AD13" s="9"/>
      <c r="AE13" s="9"/>
      <c r="AF13" s="9"/>
      <c r="AG13" s="9"/>
      <c r="AH13" s="9"/>
      <c r="AI13" s="9"/>
      <c r="AJ13" s="9"/>
      <c r="AK13" s="9"/>
      <c r="AL13" s="9"/>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row>
    <row r="14" spans="1:65" s="7" customFormat="1" ht="12" customHeight="1">
      <c r="A14" s="36">
        <v>14</v>
      </c>
      <c r="B14" s="425"/>
      <c r="C14" s="426"/>
      <c r="D14" s="358"/>
      <c r="E14" s="358"/>
      <c r="F14" s="1218" t="s">
        <v>184</v>
      </c>
      <c r="G14" s="1219"/>
      <c r="H14" s="577" t="s">
        <v>461</v>
      </c>
      <c r="I14" s="305" t="str">
        <f>IF(AND(H7=M15,K12=M15,I13&gt;=10),I13+1,"   ")</f>
        <v>   </v>
      </c>
      <c r="J14" s="303" t="str">
        <f>IF(AND(H7=M15,K12=M15,I13&gt;=10),I13*1.1,"   ")</f>
        <v>   </v>
      </c>
      <c r="K14" s="614"/>
      <c r="L14" s="421"/>
      <c r="M14" s="33"/>
      <c r="P14" s="8"/>
      <c r="Q14" s="9"/>
      <c r="R14" s="8"/>
      <c r="S14" s="8"/>
      <c r="T14" s="8"/>
      <c r="U14" s="8"/>
      <c r="V14" s="8"/>
      <c r="W14" s="8"/>
      <c r="X14" s="8"/>
      <c r="Y14" s="8"/>
      <c r="Z14" s="9"/>
      <c r="AA14" s="9"/>
      <c r="AB14" s="9"/>
      <c r="AC14" s="9"/>
      <c r="AD14" s="9"/>
      <c r="AE14" s="9"/>
      <c r="AF14" s="9"/>
      <c r="AG14" s="9"/>
      <c r="AH14" s="9"/>
      <c r="AI14" s="9"/>
      <c r="AJ14" s="9"/>
      <c r="AK14" s="9"/>
      <c r="AL14" s="9"/>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row>
    <row r="15" spans="1:65" s="7" customFormat="1" ht="13.5" customHeight="1">
      <c r="A15" s="36">
        <v>15</v>
      </c>
      <c r="B15" s="1213"/>
      <c r="C15" s="1214"/>
      <c r="D15" s="358"/>
      <c r="E15" s="358"/>
      <c r="F15" s="1248" t="s">
        <v>225</v>
      </c>
      <c r="G15" s="656"/>
      <c r="H15" s="571" t="s">
        <v>462</v>
      </c>
      <c r="I15" s="1249"/>
      <c r="J15" s="1250"/>
      <c r="K15" s="615"/>
      <c r="L15" s="421"/>
      <c r="M15" s="107" t="s">
        <v>33</v>
      </c>
      <c r="P15" s="8"/>
      <c r="Q15" s="9"/>
      <c r="R15" s="8"/>
      <c r="S15" s="8"/>
      <c r="T15" s="8"/>
      <c r="U15" s="8"/>
      <c r="V15" s="8"/>
      <c r="W15" s="8"/>
      <c r="X15" s="8"/>
      <c r="Y15" s="8"/>
      <c r="Z15" s="9"/>
      <c r="AA15" s="9"/>
      <c r="AB15" s="9"/>
      <c r="AC15" s="9"/>
      <c r="AD15" s="9"/>
      <c r="AE15" s="9"/>
      <c r="AF15" s="9"/>
      <c r="AG15" s="9"/>
      <c r="AH15" s="9"/>
      <c r="AI15" s="9"/>
      <c r="AJ15" s="9"/>
      <c r="AK15" s="9"/>
      <c r="AL15" s="9"/>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row>
    <row r="16" spans="1:65" s="7" customFormat="1" ht="13.5" customHeight="1">
      <c r="A16" s="36">
        <v>16</v>
      </c>
      <c r="B16" s="425"/>
      <c r="C16" s="426"/>
      <c r="D16" s="358"/>
      <c r="E16" s="358"/>
      <c r="F16" s="763" t="s">
        <v>179</v>
      </c>
      <c r="G16" s="722"/>
      <c r="H16" s="583" t="s">
        <v>471</v>
      </c>
      <c r="I16" s="1220"/>
      <c r="J16" s="1221"/>
      <c r="K16" s="615"/>
      <c r="L16" s="421"/>
      <c r="M16" s="108" t="s">
        <v>65</v>
      </c>
      <c r="P16" s="8"/>
      <c r="Q16" s="9"/>
      <c r="R16" s="8"/>
      <c r="S16" s="8"/>
      <c r="T16" s="8"/>
      <c r="U16" s="8"/>
      <c r="V16" s="8"/>
      <c r="W16" s="8"/>
      <c r="X16" s="8"/>
      <c r="Y16" s="8"/>
      <c r="Z16" s="9"/>
      <c r="AA16" s="9"/>
      <c r="AB16" s="9"/>
      <c r="AC16" s="9"/>
      <c r="AD16" s="9"/>
      <c r="AE16" s="9"/>
      <c r="AF16" s="9"/>
      <c r="AG16" s="9"/>
      <c r="AH16" s="9"/>
      <c r="AI16" s="9"/>
      <c r="AJ16" s="9"/>
      <c r="AK16" s="9"/>
      <c r="AL16" s="9"/>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row>
    <row r="17" spans="1:65" s="7" customFormat="1" ht="13.5" customHeight="1">
      <c r="A17" s="36">
        <v>17</v>
      </c>
      <c r="B17" s="62"/>
      <c r="C17" s="358"/>
      <c r="D17" s="358"/>
      <c r="E17" s="21"/>
      <c r="F17" s="1183" t="s">
        <v>221</v>
      </c>
      <c r="G17" s="1252"/>
      <c r="H17" s="578" t="s">
        <v>463</v>
      </c>
      <c r="I17" s="1253"/>
      <c r="J17" s="1254"/>
      <c r="K17" s="616"/>
      <c r="L17" s="429" t="s">
        <v>42</v>
      </c>
      <c r="M17" s="45"/>
      <c r="P17" s="8"/>
      <c r="Q17" s="9"/>
      <c r="R17" s="8"/>
      <c r="S17" s="8"/>
      <c r="T17" s="8"/>
      <c r="U17" s="8"/>
      <c r="V17" s="8"/>
      <c r="W17" s="8"/>
      <c r="X17" s="8"/>
      <c r="Y17" s="8"/>
      <c r="Z17" s="9"/>
      <c r="AA17" s="9"/>
      <c r="AB17" s="9"/>
      <c r="AC17" s="9"/>
      <c r="AD17" s="9"/>
      <c r="AE17" s="9"/>
      <c r="AF17" s="9"/>
      <c r="AG17" s="9"/>
      <c r="AH17" s="9"/>
      <c r="AI17" s="9"/>
      <c r="AJ17" s="9"/>
      <c r="AK17" s="9"/>
      <c r="AL17" s="9"/>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row>
    <row r="18" spans="1:65" s="7" customFormat="1" ht="12" customHeight="1">
      <c r="A18" s="36">
        <v>18</v>
      </c>
      <c r="F18" s="1261" t="s">
        <v>222</v>
      </c>
      <c r="G18" s="1262"/>
      <c r="H18" s="71" t="s">
        <v>8</v>
      </c>
      <c r="I18" s="1255"/>
      <c r="J18" s="1256"/>
      <c r="K18" s="617"/>
      <c r="L18" s="75"/>
      <c r="M18" s="230"/>
      <c r="P18" s="8"/>
      <c r="Q18" s="9"/>
      <c r="R18" s="8"/>
      <c r="S18" s="8"/>
      <c r="T18" s="8"/>
      <c r="U18" s="8"/>
      <c r="V18" s="8"/>
      <c r="W18" s="8"/>
      <c r="X18" s="8"/>
      <c r="Y18" s="8"/>
      <c r="Z18" s="9"/>
      <c r="AA18" s="9"/>
      <c r="AB18" s="9"/>
      <c r="AC18" s="9"/>
      <c r="AD18" s="9"/>
      <c r="AE18" s="9"/>
      <c r="AF18" s="9"/>
      <c r="AG18" s="9"/>
      <c r="AH18" s="9"/>
      <c r="AI18" s="9"/>
      <c r="AJ18" s="9"/>
      <c r="AK18" s="9"/>
      <c r="AL18" s="9"/>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row>
    <row r="19" spans="1:65" s="7" customFormat="1" ht="12" customHeight="1">
      <c r="A19" s="36">
        <v>19</v>
      </c>
      <c r="E19" s="27"/>
      <c r="F19" s="300"/>
      <c r="G19" s="61"/>
      <c r="H19" s="61"/>
      <c r="I19" s="1245" t="str">
        <f>IF(OR(H7=M16,K12=M16),"   ",IF(AND(H7=M15,I10&gt;=10,I10&lt;=30,I12&gt;=I11,I13&gt;=10,I15&gt;I13,I15&lt;=J14,I16&gt;0),M15,M16))</f>
        <v>   </v>
      </c>
      <c r="J19" s="1245"/>
      <c r="K19" s="430"/>
      <c r="L19" s="22"/>
      <c r="M19" s="109" t="s">
        <v>180</v>
      </c>
      <c r="P19" s="8"/>
      <c r="Q19" s="9"/>
      <c r="R19" s="8"/>
      <c r="S19" s="8"/>
      <c r="T19" s="8"/>
      <c r="U19" s="8"/>
      <c r="V19" s="8"/>
      <c r="W19" s="8"/>
      <c r="X19" s="8"/>
      <c r="Y19" s="8"/>
      <c r="Z19" s="9"/>
      <c r="AA19" s="9"/>
      <c r="AB19" s="9"/>
      <c r="AC19" s="9"/>
      <c r="AD19" s="9"/>
      <c r="AE19" s="9"/>
      <c r="AF19" s="9"/>
      <c r="AG19" s="9"/>
      <c r="AH19" s="9"/>
      <c r="AI19" s="9"/>
      <c r="AJ19" s="9"/>
      <c r="AK19" s="9"/>
      <c r="AL19" s="9"/>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row>
    <row r="20" spans="1:65" s="7" customFormat="1" ht="15.75" customHeight="1">
      <c r="A20" s="36">
        <v>20</v>
      </c>
      <c r="B20" s="62"/>
      <c r="C20" s="358"/>
      <c r="D20" s="358"/>
      <c r="E20" s="21"/>
      <c r="F20" s="1246" t="s">
        <v>230</v>
      </c>
      <c r="G20" s="1247"/>
      <c r="H20" s="1247"/>
      <c r="I20" s="1247"/>
      <c r="J20" s="431" t="s">
        <v>231</v>
      </c>
      <c r="K20" s="432"/>
      <c r="L20" s="429"/>
      <c r="M20" s="45"/>
      <c r="P20" s="8"/>
      <c r="Q20" s="9"/>
      <c r="R20" s="8"/>
      <c r="S20" s="8"/>
      <c r="T20" s="8"/>
      <c r="U20" s="8"/>
      <c r="V20" s="8"/>
      <c r="W20" s="8"/>
      <c r="X20" s="8"/>
      <c r="Y20" s="8"/>
      <c r="Z20" s="9"/>
      <c r="AA20" s="9"/>
      <c r="AB20" s="9"/>
      <c r="AC20" s="9"/>
      <c r="AD20" s="9"/>
      <c r="AE20" s="9"/>
      <c r="AF20" s="9"/>
      <c r="AG20" s="9"/>
      <c r="AH20" s="9"/>
      <c r="AI20" s="9"/>
      <c r="AJ20" s="9"/>
      <c r="AK20" s="9"/>
      <c r="AL20" s="9"/>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row>
    <row r="21" spans="1:65" s="7" customFormat="1" ht="13.5" customHeight="1">
      <c r="A21" s="36">
        <v>21</v>
      </c>
      <c r="B21" s="62"/>
      <c r="C21" s="358"/>
      <c r="D21" s="358"/>
      <c r="E21" s="21"/>
      <c r="F21" s="1183" t="s">
        <v>172</v>
      </c>
      <c r="G21" s="699"/>
      <c r="H21" s="433" t="s">
        <v>188</v>
      </c>
      <c r="I21" s="1216"/>
      <c r="J21" s="1217"/>
      <c r="K21" s="616"/>
      <c r="L21" s="429"/>
      <c r="M21" s="107"/>
      <c r="P21" s="8"/>
      <c r="Q21" s="9"/>
      <c r="R21" s="8"/>
      <c r="S21" s="8"/>
      <c r="T21" s="8"/>
      <c r="U21" s="8"/>
      <c r="V21" s="8"/>
      <c r="W21" s="8"/>
      <c r="X21" s="8"/>
      <c r="Y21" s="8"/>
      <c r="Z21" s="9"/>
      <c r="AA21" s="9"/>
      <c r="AB21" s="9"/>
      <c r="AC21" s="9"/>
      <c r="AD21" s="9"/>
      <c r="AE21" s="9"/>
      <c r="AF21" s="9"/>
      <c r="AG21" s="9"/>
      <c r="AH21" s="9"/>
      <c r="AI21" s="9"/>
      <c r="AJ21" s="9"/>
      <c r="AK21" s="9"/>
      <c r="AL21" s="9"/>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row>
    <row r="22" spans="1:13" ht="13.5" customHeight="1">
      <c r="A22" s="36">
        <v>22</v>
      </c>
      <c r="B22" s="20"/>
      <c r="C22" s="20"/>
      <c r="D22" s="20"/>
      <c r="E22" s="20"/>
      <c r="F22" s="922" t="s">
        <v>173</v>
      </c>
      <c r="G22" s="656"/>
      <c r="H22" s="176" t="s">
        <v>189</v>
      </c>
      <c r="I22" s="1259"/>
      <c r="J22" s="1260"/>
      <c r="K22" s="614"/>
      <c r="L22" s="15"/>
      <c r="M22" s="33"/>
    </row>
    <row r="23" spans="1:13" ht="12" customHeight="1">
      <c r="A23" s="36">
        <v>23</v>
      </c>
      <c r="B23" s="20"/>
      <c r="C23" s="20"/>
      <c r="D23" s="20"/>
      <c r="E23" s="20"/>
      <c r="F23" s="763" t="s">
        <v>238</v>
      </c>
      <c r="G23" s="1142"/>
      <c r="H23" s="88" t="s">
        <v>464</v>
      </c>
      <c r="I23" s="1257"/>
      <c r="J23" s="1258"/>
      <c r="K23" s="618"/>
      <c r="L23" s="15"/>
      <c r="M23" s="108"/>
    </row>
    <row r="24" spans="1:13" ht="11.25">
      <c r="A24" s="36">
        <v>24</v>
      </c>
      <c r="B24" s="231" t="s">
        <v>183</v>
      </c>
      <c r="C24" s="977" t="s">
        <v>181</v>
      </c>
      <c r="D24" s="773"/>
      <c r="I24" s="1215" t="str">
        <f>IF(OR(H7=M16,I19=M16,I19="    "),"   ",IF(AND(I19=M15,I21=0,I22=0,I23=0),M15,IF(AND(I21&gt;=4,I22&gt;=70,I23&gt;=12),M15,M16)))</f>
        <v>   </v>
      </c>
      <c r="J24" s="765"/>
      <c r="K24" s="60"/>
      <c r="M24" s="33"/>
    </row>
    <row r="25" spans="1:65" s="7" customFormat="1" ht="12.75" customHeight="1">
      <c r="A25" s="36">
        <v>25</v>
      </c>
      <c r="E25" s="27"/>
      <c r="F25" s="293"/>
      <c r="G25" s="434"/>
      <c r="H25" s="232"/>
      <c r="I25" s="294"/>
      <c r="J25" s="435"/>
      <c r="K25" s="436"/>
      <c r="L25" s="22"/>
      <c r="M25" s="109"/>
      <c r="P25" s="8"/>
      <c r="Q25" s="9"/>
      <c r="R25" s="8"/>
      <c r="S25" s="8"/>
      <c r="T25" s="8"/>
      <c r="U25" s="8"/>
      <c r="V25" s="8"/>
      <c r="W25" s="8"/>
      <c r="X25" s="8"/>
      <c r="Y25" s="8"/>
      <c r="Z25" s="9"/>
      <c r="AA25" s="9"/>
      <c r="AB25" s="9"/>
      <c r="AC25" s="9"/>
      <c r="AD25" s="9"/>
      <c r="AE25" s="9"/>
      <c r="AF25" s="9"/>
      <c r="AG25" s="9"/>
      <c r="AH25" s="9"/>
      <c r="AI25" s="9"/>
      <c r="AJ25" s="9"/>
      <c r="AK25" s="9"/>
      <c r="AL25" s="9"/>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row>
    <row r="26" spans="1:65" s="7" customFormat="1" ht="15.75" customHeight="1">
      <c r="A26" s="36">
        <v>26</v>
      </c>
      <c r="B26" s="180" t="s">
        <v>5</v>
      </c>
      <c r="C26" s="180"/>
      <c r="D26" s="181"/>
      <c r="E26" s="182" t="s">
        <v>2</v>
      </c>
      <c r="F26" s="1102" t="s">
        <v>41</v>
      </c>
      <c r="G26" s="1103"/>
      <c r="H26" s="1104"/>
      <c r="I26" s="1099" t="s">
        <v>40</v>
      </c>
      <c r="J26" s="1101"/>
      <c r="K26" s="183" t="s">
        <v>34</v>
      </c>
      <c r="L26" s="437"/>
      <c r="M26" s="110" t="s">
        <v>138</v>
      </c>
      <c r="P26" s="8"/>
      <c r="Q26" s="9"/>
      <c r="R26" s="8"/>
      <c r="S26" s="8"/>
      <c r="T26" s="8"/>
      <c r="U26" s="8"/>
      <c r="V26" s="8"/>
      <c r="W26" s="8"/>
      <c r="X26" s="8"/>
      <c r="Y26" s="8"/>
      <c r="Z26" s="9"/>
      <c r="AA26" s="9"/>
      <c r="AB26" s="9"/>
      <c r="AC26" s="9"/>
      <c r="AD26" s="9"/>
      <c r="AE26" s="9"/>
      <c r="AF26" s="9"/>
      <c r="AG26" s="9"/>
      <c r="AH26" s="9"/>
      <c r="AI26" s="9"/>
      <c r="AJ26" s="9"/>
      <c r="AK26" s="9"/>
      <c r="AL26" s="9"/>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row>
    <row r="27" spans="1:65" s="7" customFormat="1" ht="19.5" customHeight="1">
      <c r="A27" s="36">
        <v>27</v>
      </c>
      <c r="B27" s="1140" t="s">
        <v>214</v>
      </c>
      <c r="C27" s="1141"/>
      <c r="D27" s="1141"/>
      <c r="E27" s="1141"/>
      <c r="F27" s="1141"/>
      <c r="G27" s="1141"/>
      <c r="H27" s="1141"/>
      <c r="I27" s="1136"/>
      <c r="J27" s="1137"/>
      <c r="K27" s="77"/>
      <c r="L27" s="21"/>
      <c r="M27" s="33"/>
      <c r="P27" s="8"/>
      <c r="Q27" s="9"/>
      <c r="R27" s="8"/>
      <c r="S27" s="8"/>
      <c r="T27" s="8"/>
      <c r="U27" s="8"/>
      <c r="V27" s="8"/>
      <c r="W27" s="8"/>
      <c r="X27" s="8"/>
      <c r="Y27" s="8"/>
      <c r="Z27" s="9"/>
      <c r="AA27" s="9"/>
      <c r="AB27" s="9"/>
      <c r="AC27" s="9"/>
      <c r="AD27" s="9"/>
      <c r="AE27" s="9"/>
      <c r="AF27" s="9"/>
      <c r="AG27" s="9"/>
      <c r="AH27" s="9"/>
      <c r="AI27" s="9"/>
      <c r="AJ27" s="9"/>
      <c r="AK27" s="9"/>
      <c r="AL27" s="9"/>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row>
    <row r="28" spans="1:65" s="7" customFormat="1" ht="12" customHeight="1">
      <c r="A28" s="36">
        <v>28</v>
      </c>
      <c r="B28" s="1135" t="s">
        <v>154</v>
      </c>
      <c r="C28" s="1135"/>
      <c r="D28" s="1135"/>
      <c r="E28" s="438" t="s">
        <v>143</v>
      </c>
      <c r="F28" s="1133" t="s">
        <v>431</v>
      </c>
      <c r="G28" s="1134"/>
      <c r="H28" s="1135"/>
      <c r="I28" s="224" t="str">
        <f>IF(OR(I24=M16,I24="   "),"   ",IF(AND(Statik!H29&gt;0,ISNUMBER(Statik!H29)),Statik!H29,M26))</f>
        <v>   </v>
      </c>
      <c r="J28" s="223" t="str">
        <f>IF(I28="   ","   ",IF(AND(Statik!H31&gt;0,ISNUMBER(Statik!H31)),Statik!H31,M16))</f>
        <v>   </v>
      </c>
      <c r="K28" s="619" t="s">
        <v>224</v>
      </c>
      <c r="L28" s="437"/>
      <c r="M28" s="44"/>
      <c r="P28" s="8"/>
      <c r="Q28" s="9"/>
      <c r="R28" s="8"/>
      <c r="S28" s="8"/>
      <c r="T28" s="8"/>
      <c r="U28" s="8"/>
      <c r="V28" s="8"/>
      <c r="W28" s="8"/>
      <c r="X28" s="8"/>
      <c r="Y28" s="8"/>
      <c r="Z28" s="9"/>
      <c r="AA28" s="9"/>
      <c r="AB28" s="9"/>
      <c r="AC28" s="9"/>
      <c r="AD28" s="9"/>
      <c r="AE28" s="9"/>
      <c r="AF28" s="9"/>
      <c r="AG28" s="9"/>
      <c r="AH28" s="9"/>
      <c r="AI28" s="9"/>
      <c r="AJ28" s="9"/>
      <c r="AK28" s="9"/>
      <c r="AL28" s="9"/>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row>
    <row r="29" spans="1:65" s="7" customFormat="1" ht="12" customHeight="1">
      <c r="A29" s="36">
        <v>29</v>
      </c>
      <c r="B29" s="1096" t="s">
        <v>266</v>
      </c>
      <c r="C29" s="1096"/>
      <c r="D29" s="1096"/>
      <c r="E29" s="184" t="s">
        <v>163</v>
      </c>
      <c r="F29" s="1139" t="s">
        <v>465</v>
      </c>
      <c r="G29" s="1096"/>
      <c r="H29" s="1096"/>
      <c r="I29" s="301" t="str">
        <f>IF(I28="   ","   ",I10)</f>
        <v>   </v>
      </c>
      <c r="J29" s="302" t="str">
        <f>IF(I28="   ","   ",Statik!H49)</f>
        <v>   </v>
      </c>
      <c r="K29" s="439" t="e">
        <f>HLOOKUP(J29,'D1'!B3:'D1'!EV4,2,0)</f>
        <v>#N/A</v>
      </c>
      <c r="M29" s="44"/>
      <c r="P29" s="8"/>
      <c r="Q29" s="9"/>
      <c r="R29" s="8"/>
      <c r="S29" s="8"/>
      <c r="T29" s="8"/>
      <c r="U29" s="8"/>
      <c r="V29" s="8"/>
      <c r="W29" s="8"/>
      <c r="X29" s="8"/>
      <c r="Y29" s="8"/>
      <c r="Z29" s="9"/>
      <c r="AA29" s="9"/>
      <c r="AB29" s="9"/>
      <c r="AC29" s="9"/>
      <c r="AD29" s="9"/>
      <c r="AE29" s="9"/>
      <c r="AF29" s="9"/>
      <c r="AG29" s="9"/>
      <c r="AH29" s="9"/>
      <c r="AI29" s="9"/>
      <c r="AJ29" s="9"/>
      <c r="AK29" s="9"/>
      <c r="AL29" s="9"/>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row>
    <row r="30" spans="1:65" s="7" customFormat="1" ht="12" customHeight="1">
      <c r="A30" s="36">
        <v>30</v>
      </c>
      <c r="B30" s="1096" t="s">
        <v>267</v>
      </c>
      <c r="C30" s="1096"/>
      <c r="D30" s="1096"/>
      <c r="E30" s="440" t="s">
        <v>143</v>
      </c>
      <c r="F30" s="1139" t="s">
        <v>488</v>
      </c>
      <c r="G30" s="1139"/>
      <c r="H30" s="1096"/>
      <c r="I30" s="296" t="str">
        <f>IF(I28="   ","   ",Statik!H57)</f>
        <v>   </v>
      </c>
      <c r="J30" s="441" t="str">
        <f>IF(I28="   ","   ",VLOOKUP(Statik!H8,'D1'!A81:'D1'!EV94,K30,0))</f>
        <v>   </v>
      </c>
      <c r="K30" s="439" t="e">
        <f>HLOOKUP(I29,'D1'!B3:'D1'!EV4,2,0)</f>
        <v>#N/A</v>
      </c>
      <c r="L30" s="437"/>
      <c r="M30" s="29"/>
      <c r="P30" s="8"/>
      <c r="Q30" s="9"/>
      <c r="R30" s="8"/>
      <c r="S30" s="8"/>
      <c r="T30" s="8"/>
      <c r="U30" s="8"/>
      <c r="V30" s="8"/>
      <c r="W30" s="8"/>
      <c r="X30" s="8"/>
      <c r="Y30" s="8"/>
      <c r="Z30" s="9"/>
      <c r="AA30" s="9"/>
      <c r="AB30" s="9"/>
      <c r="AC30" s="9"/>
      <c r="AD30" s="9"/>
      <c r="AE30" s="9"/>
      <c r="AF30" s="9"/>
      <c r="AG30" s="9"/>
      <c r="AH30" s="9"/>
      <c r="AI30" s="9"/>
      <c r="AJ30" s="9"/>
      <c r="AK30" s="9"/>
      <c r="AL30" s="9"/>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row>
    <row r="31" spans="1:65" s="7" customFormat="1" ht="12" customHeight="1">
      <c r="A31" s="36">
        <v>31</v>
      </c>
      <c r="B31" s="1096" t="s">
        <v>215</v>
      </c>
      <c r="C31" s="1096"/>
      <c r="D31" s="1096"/>
      <c r="E31" s="582" t="s">
        <v>148</v>
      </c>
      <c r="F31" s="1091" t="s">
        <v>466</v>
      </c>
      <c r="G31" s="1092"/>
      <c r="H31" s="874"/>
      <c r="I31" s="225" t="str">
        <f>IF(I28="   ","   ",Statik!H40)</f>
        <v>   </v>
      </c>
      <c r="J31" s="442" t="str">
        <f>IF(I28="   ","   ",Statik!H41)</f>
        <v>   </v>
      </c>
      <c r="K31" s="584"/>
      <c r="L31" s="437"/>
      <c r="M31" s="30"/>
      <c r="P31" s="8"/>
      <c r="Q31" s="9"/>
      <c r="R31" s="8"/>
      <c r="S31" s="8"/>
      <c r="T31" s="8"/>
      <c r="U31" s="8"/>
      <c r="V31" s="8"/>
      <c r="W31" s="8"/>
      <c r="X31" s="8"/>
      <c r="Y31" s="8"/>
      <c r="Z31" s="9"/>
      <c r="AA31" s="9"/>
      <c r="AB31" s="9"/>
      <c r="AC31" s="9"/>
      <c r="AD31" s="9"/>
      <c r="AE31" s="9"/>
      <c r="AF31" s="9"/>
      <c r="AG31" s="9"/>
      <c r="AH31" s="9"/>
      <c r="AI31" s="9"/>
      <c r="AJ31" s="9"/>
      <c r="AK31" s="9"/>
      <c r="AL31" s="9"/>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row>
    <row r="32" spans="1:65" s="7" customFormat="1" ht="12" customHeight="1">
      <c r="A32" s="36">
        <v>32</v>
      </c>
      <c r="B32" s="1096" t="s">
        <v>140</v>
      </c>
      <c r="C32" s="1096"/>
      <c r="D32" s="1096"/>
      <c r="E32" s="184" t="s">
        <v>148</v>
      </c>
      <c r="F32" s="1139" t="s">
        <v>467</v>
      </c>
      <c r="G32" s="1092"/>
      <c r="H32" s="656"/>
      <c r="I32" s="263" t="str">
        <f>IF(I28="   ","   ",Statik!H69)</f>
        <v>   </v>
      </c>
      <c r="J32" s="443" t="str">
        <f>IF(I28="   ","   ",Statik!H70)</f>
        <v>   </v>
      </c>
      <c r="K32" s="620" t="str">
        <f>IF(I28="   ","   ",Statik!K70)</f>
        <v>   </v>
      </c>
      <c r="L32" s="437"/>
      <c r="M32" s="30"/>
      <c r="P32" s="8"/>
      <c r="Q32" s="9"/>
      <c r="R32" s="8"/>
      <c r="S32" s="8"/>
      <c r="T32" s="8"/>
      <c r="U32" s="8"/>
      <c r="V32" s="8"/>
      <c r="W32" s="8"/>
      <c r="X32" s="8"/>
      <c r="Y32" s="8"/>
      <c r="Z32" s="9"/>
      <c r="AA32" s="9"/>
      <c r="AB32" s="9"/>
      <c r="AC32" s="9"/>
      <c r="AD32" s="9"/>
      <c r="AE32" s="9"/>
      <c r="AF32" s="9"/>
      <c r="AG32" s="9"/>
      <c r="AH32" s="9"/>
      <c r="AI32" s="9"/>
      <c r="AJ32" s="9"/>
      <c r="AK32" s="9"/>
      <c r="AL32" s="9"/>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row>
    <row r="33" spans="1:65" s="7" customFormat="1" ht="12" customHeight="1">
      <c r="A33" s="36">
        <v>33</v>
      </c>
      <c r="B33" s="1227" t="s">
        <v>223</v>
      </c>
      <c r="C33" s="761"/>
      <c r="D33" s="761"/>
      <c r="E33" s="184" t="s">
        <v>0</v>
      </c>
      <c r="F33" s="901" t="s">
        <v>468</v>
      </c>
      <c r="G33" s="660"/>
      <c r="H33" s="660"/>
      <c r="I33" s="1188" t="str">
        <f>IF(I28="   ","   ",Statik!J21)</f>
        <v>   </v>
      </c>
      <c r="J33" s="1189"/>
      <c r="K33" s="584"/>
      <c r="L33" s="21"/>
      <c r="M33" s="30"/>
      <c r="P33" s="8"/>
      <c r="Q33" s="9"/>
      <c r="R33" s="8"/>
      <c r="S33" s="8"/>
      <c r="T33" s="8"/>
      <c r="U33" s="8"/>
      <c r="V33" s="8"/>
      <c r="W33" s="8"/>
      <c r="X33" s="8"/>
      <c r="Y33" s="8"/>
      <c r="Z33" s="9"/>
      <c r="AA33" s="9"/>
      <c r="AB33" s="9"/>
      <c r="AC33" s="9"/>
      <c r="AD33" s="9"/>
      <c r="AE33" s="9"/>
      <c r="AF33" s="9"/>
      <c r="AG33" s="9"/>
      <c r="AH33" s="9"/>
      <c r="AI33" s="9"/>
      <c r="AJ33" s="9"/>
      <c r="AK33" s="9"/>
      <c r="AL33" s="9"/>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row>
    <row r="34" spans="1:65" s="7" customFormat="1" ht="12" customHeight="1">
      <c r="A34" s="36">
        <v>34</v>
      </c>
      <c r="B34" s="1096" t="s">
        <v>268</v>
      </c>
      <c r="C34" s="1226"/>
      <c r="D34" s="1226"/>
      <c r="E34" s="184" t="s">
        <v>8</v>
      </c>
      <c r="F34" s="901" t="s">
        <v>469</v>
      </c>
      <c r="G34" s="1139"/>
      <c r="H34" s="1226"/>
      <c r="I34" s="222" t="str">
        <f>IF(I28="   ","   ",Statik!H77)</f>
        <v>   </v>
      </c>
      <c r="J34" s="444" t="str">
        <f>IF(I28="   ","   ",Statik!K80)</f>
        <v>   </v>
      </c>
      <c r="K34" s="584"/>
      <c r="L34" s="21"/>
      <c r="M34" s="30"/>
      <c r="P34" s="8"/>
      <c r="Q34" s="9"/>
      <c r="R34" s="8"/>
      <c r="S34" s="8"/>
      <c r="T34" s="8"/>
      <c r="U34" s="8"/>
      <c r="V34" s="8"/>
      <c r="W34" s="8"/>
      <c r="X34" s="8"/>
      <c r="Y34" s="8"/>
      <c r="Z34" s="9"/>
      <c r="AA34" s="9"/>
      <c r="AB34" s="9"/>
      <c r="AC34" s="9"/>
      <c r="AD34" s="9"/>
      <c r="AE34" s="9"/>
      <c r="AF34" s="9"/>
      <c r="AG34" s="9"/>
      <c r="AH34" s="9"/>
      <c r="AI34" s="9"/>
      <c r="AJ34" s="9"/>
      <c r="AK34" s="9"/>
      <c r="AL34" s="9"/>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row>
    <row r="35" spans="1:65" s="7" customFormat="1" ht="12" customHeight="1">
      <c r="A35" s="36">
        <v>35</v>
      </c>
      <c r="B35" s="227" t="s">
        <v>220</v>
      </c>
      <c r="C35" s="150"/>
      <c r="D35" s="150"/>
      <c r="E35" s="187" t="s">
        <v>8</v>
      </c>
      <c r="F35" s="900" t="s">
        <v>470</v>
      </c>
      <c r="G35" s="1164"/>
      <c r="H35" s="865"/>
      <c r="I35" s="1222" t="str">
        <f>IF(I28="   ","   ",1000*Statik!H81)</f>
        <v>   </v>
      </c>
      <c r="J35" s="1189"/>
      <c r="K35" s="585"/>
      <c r="L35" s="178"/>
      <c r="M35" s="33"/>
      <c r="P35" s="8"/>
      <c r="Q35" s="9"/>
      <c r="R35" s="8"/>
      <c r="S35" s="8"/>
      <c r="T35" s="8"/>
      <c r="U35" s="8"/>
      <c r="V35" s="8"/>
      <c r="W35" s="8"/>
      <c r="X35" s="8"/>
      <c r="Y35" s="8"/>
      <c r="Z35" s="9"/>
      <c r="AA35" s="9"/>
      <c r="AB35" s="9"/>
      <c r="AC35" s="9"/>
      <c r="AD35" s="9"/>
      <c r="AE35" s="9"/>
      <c r="AF35" s="9"/>
      <c r="AG35" s="9"/>
      <c r="AH35" s="9"/>
      <c r="AI35" s="9"/>
      <c r="AJ35" s="9"/>
      <c r="AK35" s="9"/>
      <c r="AL35" s="9"/>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row>
    <row r="36" spans="1:13" ht="18" customHeight="1">
      <c r="A36" s="36">
        <v>36</v>
      </c>
      <c r="B36" s="1113" t="s">
        <v>174</v>
      </c>
      <c r="C36" s="709"/>
      <c r="D36" s="709"/>
      <c r="E36" s="709"/>
      <c r="F36" s="709"/>
      <c r="G36" s="1228" t="s">
        <v>232</v>
      </c>
      <c r="H36" s="1228"/>
      <c r="I36" s="445"/>
      <c r="J36" s="445"/>
      <c r="K36" s="446"/>
      <c r="M36" s="33"/>
    </row>
    <row r="37" spans="1:65" s="7" customFormat="1" ht="13.5" customHeight="1">
      <c r="A37" s="36">
        <v>37</v>
      </c>
      <c r="B37" s="699" t="s">
        <v>175</v>
      </c>
      <c r="C37" s="699"/>
      <c r="D37" s="699"/>
      <c r="E37" s="447" t="s">
        <v>0</v>
      </c>
      <c r="F37" s="1238" t="s">
        <v>458</v>
      </c>
      <c r="G37" s="808"/>
      <c r="H37" s="699"/>
      <c r="I37" s="1233" t="str">
        <f>IF(I28="   ","   ",ROUNDUP(1.5*J32*0.5*(I35+I17)*I31*I32/(I13*2*J30),0))</f>
        <v>   </v>
      </c>
      <c r="J37" s="1234"/>
      <c r="K37" s="598"/>
      <c r="L37" s="21"/>
      <c r="M37" s="33" t="s">
        <v>186</v>
      </c>
      <c r="P37" s="8"/>
      <c r="Q37" s="9"/>
      <c r="R37" s="8"/>
      <c r="S37" s="8"/>
      <c r="T37" s="8"/>
      <c r="U37" s="8"/>
      <c r="V37" s="8"/>
      <c r="W37" s="8"/>
      <c r="X37" s="8"/>
      <c r="Y37" s="8"/>
      <c r="Z37" s="9"/>
      <c r="AA37" s="9"/>
      <c r="AB37" s="9"/>
      <c r="AC37" s="9"/>
      <c r="AD37" s="9"/>
      <c r="AE37" s="9"/>
      <c r="AF37" s="9"/>
      <c r="AG37" s="9"/>
      <c r="AH37" s="9"/>
      <c r="AI37" s="9"/>
      <c r="AJ37" s="9"/>
      <c r="AK37" s="9"/>
      <c r="AL37" s="9"/>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row>
    <row r="38" spans="1:13" ht="13.5" customHeight="1">
      <c r="A38" s="36">
        <v>38</v>
      </c>
      <c r="B38" s="763" t="s">
        <v>176</v>
      </c>
      <c r="C38" s="1142"/>
      <c r="D38" s="1142"/>
      <c r="E38" s="226" t="s">
        <v>0</v>
      </c>
      <c r="F38" s="1223" t="s">
        <v>471</v>
      </c>
      <c r="G38" s="1224"/>
      <c r="H38" s="1225"/>
      <c r="I38" s="1235" t="str">
        <f>IF(I28="   ","   ",ROUNDUP(MAX((1.5*J32*0.25*(I35+I17)*I31*I32/(0.7*Statik!J19*Statik!H45*0.5*J30)),((1.5*J32*0.5*(I35+I17)*I31*I32/(I12*J30))+(7/3)*I15)),0))</f>
        <v>   </v>
      </c>
      <c r="J38" s="1236"/>
      <c r="K38" s="597"/>
      <c r="M38" s="33" t="s">
        <v>192</v>
      </c>
    </row>
    <row r="39" spans="1:13" ht="18" customHeight="1">
      <c r="A39" s="36">
        <v>39</v>
      </c>
      <c r="B39" s="1113" t="s">
        <v>472</v>
      </c>
      <c r="C39" s="995"/>
      <c r="D39" s="995"/>
      <c r="E39" s="995"/>
      <c r="F39" s="995"/>
      <c r="G39" s="995"/>
      <c r="H39" s="448" t="s">
        <v>233</v>
      </c>
      <c r="I39" s="1242" t="str">
        <f>IF(I28="   ","   ",IF(AND(I37&lt;=I12,I38&lt;=I16,I38&gt;I37),M15,M16))</f>
        <v>   </v>
      </c>
      <c r="J39" s="1243"/>
      <c r="K39" s="229"/>
      <c r="M39" s="33" t="s">
        <v>235</v>
      </c>
    </row>
    <row r="40" spans="1:65" s="7" customFormat="1" ht="12.75" customHeight="1">
      <c r="A40" s="36">
        <v>40</v>
      </c>
      <c r="B40" s="1183" t="s">
        <v>269</v>
      </c>
      <c r="C40" s="699"/>
      <c r="D40" s="699"/>
      <c r="E40" s="449" t="s">
        <v>178</v>
      </c>
      <c r="F40" s="1239" t="s">
        <v>473</v>
      </c>
      <c r="G40" s="808"/>
      <c r="H40" s="809"/>
      <c r="I40" s="1186" t="str">
        <f>IF(OR(I39="   ",I39=M16),"   ",IF(AND(I24=M15,I21=0,I22=0,I23=0),"   ",K32*MAX(I28,J28)*Statik!J17*0.25-0.9*(I34+J34)/(PI()*Statik!J17)))</f>
        <v>   </v>
      </c>
      <c r="J40" s="1187"/>
      <c r="K40" s="585"/>
      <c r="L40" s="178"/>
      <c r="M40" s="33" t="s">
        <v>236</v>
      </c>
      <c r="P40" s="8"/>
      <c r="Q40" s="9"/>
      <c r="R40" s="8"/>
      <c r="S40" s="8"/>
      <c r="T40" s="8"/>
      <c r="U40" s="8"/>
      <c r="V40" s="8"/>
      <c r="W40" s="8"/>
      <c r="X40" s="8"/>
      <c r="Y40" s="8"/>
      <c r="Z40" s="9"/>
      <c r="AA40" s="9"/>
      <c r="AB40" s="9"/>
      <c r="AC40" s="9"/>
      <c r="AD40" s="9"/>
      <c r="AE40" s="9"/>
      <c r="AF40" s="9"/>
      <c r="AG40" s="9"/>
      <c r="AH40" s="9"/>
      <c r="AI40" s="9"/>
      <c r="AJ40" s="9"/>
      <c r="AK40" s="9"/>
      <c r="AL40" s="9"/>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row>
    <row r="41" spans="1:13" ht="12.75" customHeight="1">
      <c r="A41" s="36">
        <v>41</v>
      </c>
      <c r="B41" s="656" t="s">
        <v>474</v>
      </c>
      <c r="C41" s="852"/>
      <c r="D41" s="852"/>
      <c r="E41" s="185" t="s">
        <v>8</v>
      </c>
      <c r="F41" s="961" t="s">
        <v>475</v>
      </c>
      <c r="G41" s="1184"/>
      <c r="H41" s="1185"/>
      <c r="I41" s="1206" t="str">
        <f>IF(I40="   ","   ",(K32*J28*PI()*Statik!J17*Statik!J17*0.25-0.9*(I34+J34))*1/I21)</f>
        <v>   </v>
      </c>
      <c r="J41" s="1207"/>
      <c r="K41" s="584"/>
      <c r="M41" s="33" t="s">
        <v>148</v>
      </c>
    </row>
    <row r="42" spans="1:65" s="7" customFormat="1" ht="12.75" customHeight="1">
      <c r="A42" s="36">
        <v>42</v>
      </c>
      <c r="B42" s="656" t="s">
        <v>476</v>
      </c>
      <c r="C42" s="852"/>
      <c r="D42" s="852"/>
      <c r="E42" s="177" t="s">
        <v>8</v>
      </c>
      <c r="F42" s="1022" t="s">
        <v>477</v>
      </c>
      <c r="G42" s="1184"/>
      <c r="H42" s="1185"/>
      <c r="I42" s="1201" t="str">
        <f>IF(I40="   ","   ",(K32*I28*PI()*Statik!J17*Statik!J17*0.25-0.9*(I34+J34))*1/I21)</f>
        <v>   </v>
      </c>
      <c r="J42" s="1207"/>
      <c r="K42" s="584"/>
      <c r="L42" s="437"/>
      <c r="M42" s="33"/>
      <c r="P42" s="8"/>
      <c r="Q42" s="9"/>
      <c r="R42" s="8"/>
      <c r="S42" s="8"/>
      <c r="T42" s="8"/>
      <c r="U42" s="8"/>
      <c r="V42" s="8"/>
      <c r="W42" s="8"/>
      <c r="X42" s="8"/>
      <c r="Y42" s="8"/>
      <c r="Z42" s="9"/>
      <c r="AA42" s="9"/>
      <c r="AB42" s="9"/>
      <c r="AC42" s="9"/>
      <c r="AD42" s="9"/>
      <c r="AE42" s="9"/>
      <c r="AF42" s="9"/>
      <c r="AG42" s="9"/>
      <c r="AH42" s="9"/>
      <c r="AI42" s="9"/>
      <c r="AJ42" s="9"/>
      <c r="AK42" s="9"/>
      <c r="AL42" s="9"/>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row>
    <row r="43" spans="1:13" ht="12.75" customHeight="1">
      <c r="A43" s="36">
        <v>43</v>
      </c>
      <c r="B43" s="922" t="s">
        <v>226</v>
      </c>
      <c r="C43" s="852"/>
      <c r="D43" s="865"/>
      <c r="E43" s="185" t="s">
        <v>8</v>
      </c>
      <c r="F43" s="1022" t="s">
        <v>478</v>
      </c>
      <c r="G43" s="1184"/>
      <c r="H43" s="1185"/>
      <c r="I43" s="1206" t="str">
        <f>IF(I40="   ","   ",IF(Statik!H35=Statik!N38,0,((4*J32*Statik!H87*1000/Statik!J17)+(K32*I28*PI()*Statik!J17*Statik!J17*0.25)-(0.9*(I34+J34)))*1/I21))</f>
        <v>   </v>
      </c>
      <c r="J43" s="1207"/>
      <c r="K43" s="584"/>
      <c r="M43" s="33"/>
    </row>
    <row r="44" spans="1:13" ht="12.75" customHeight="1">
      <c r="A44" s="36">
        <v>44</v>
      </c>
      <c r="B44" s="922" t="s">
        <v>227</v>
      </c>
      <c r="C44" s="1164"/>
      <c r="D44" s="865"/>
      <c r="E44" s="185" t="s">
        <v>8</v>
      </c>
      <c r="F44" s="1193" t="s">
        <v>479</v>
      </c>
      <c r="G44" s="1194"/>
      <c r="H44" s="1195"/>
      <c r="I44" s="1182" t="str">
        <f>IF(I41="   ","   ",IF(Statik!H35=Statik!N38,MAX(I41,I42),MAX(I41,I42,I43)))</f>
        <v>   </v>
      </c>
      <c r="J44" s="750"/>
      <c r="K44" s="584"/>
      <c r="M44" s="33"/>
    </row>
    <row r="45" spans="1:65" s="7" customFormat="1" ht="12.75" customHeight="1">
      <c r="A45" s="36">
        <v>45</v>
      </c>
      <c r="B45" s="922" t="s">
        <v>480</v>
      </c>
      <c r="C45" s="656"/>
      <c r="D45" s="874"/>
      <c r="E45" s="177" t="s">
        <v>8</v>
      </c>
      <c r="F45" s="1022" t="s">
        <v>481</v>
      </c>
      <c r="G45" s="1184"/>
      <c r="H45" s="1185"/>
      <c r="I45" s="1201" t="str">
        <f>IF(I41="   ","   ",(I22+Statik!J21)*Statik!J21*J30/(2*I31*I32))</f>
        <v>   </v>
      </c>
      <c r="J45" s="715"/>
      <c r="K45" s="584"/>
      <c r="L45" s="437"/>
      <c r="M45" s="33"/>
      <c r="P45" s="8"/>
      <c r="Q45" s="9"/>
      <c r="R45" s="8"/>
      <c r="S45" s="8"/>
      <c r="T45" s="8"/>
      <c r="U45" s="8"/>
      <c r="V45" s="8"/>
      <c r="W45" s="8"/>
      <c r="X45" s="8"/>
      <c r="Y45" s="8"/>
      <c r="Z45" s="9"/>
      <c r="AA45" s="9"/>
      <c r="AB45" s="9"/>
      <c r="AC45" s="9"/>
      <c r="AD45" s="9"/>
      <c r="AE45" s="9"/>
      <c r="AF45" s="9"/>
      <c r="AG45" s="9"/>
      <c r="AH45" s="9"/>
      <c r="AI45" s="9"/>
      <c r="AJ45" s="9"/>
      <c r="AK45" s="9"/>
      <c r="AL45" s="9"/>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row>
    <row r="46" spans="1:13" ht="12.75" customHeight="1">
      <c r="A46" s="36">
        <v>46</v>
      </c>
      <c r="B46" s="763" t="s">
        <v>482</v>
      </c>
      <c r="C46" s="722"/>
      <c r="D46" s="793"/>
      <c r="E46" s="228" t="s">
        <v>8</v>
      </c>
      <c r="F46" s="1202" t="s">
        <v>483</v>
      </c>
      <c r="G46" s="818"/>
      <c r="H46" s="1203"/>
      <c r="I46" s="1204" t="str">
        <f>IF(I41="   ","   ",(I22+Statik!J21)*Statik!J21*I30/(2*I31*I32))</f>
        <v>   </v>
      </c>
      <c r="J46" s="1205"/>
      <c r="K46" s="584"/>
      <c r="M46" s="33"/>
    </row>
    <row r="47" spans="1:65" s="7" customFormat="1" ht="13.5" customHeight="1">
      <c r="A47" s="36">
        <v>47</v>
      </c>
      <c r="B47" s="579" t="s">
        <v>228</v>
      </c>
      <c r="C47" s="699" t="s">
        <v>270</v>
      </c>
      <c r="D47" s="940"/>
      <c r="E47" s="185" t="s">
        <v>148</v>
      </c>
      <c r="F47" s="1022" t="s">
        <v>484</v>
      </c>
      <c r="G47" s="1184"/>
      <c r="H47" s="1185"/>
      <c r="I47" s="311" t="str">
        <f>IF(I40="   ","   ",I41/I45)</f>
        <v>   </v>
      </c>
      <c r="J47" s="298" t="str">
        <f>IF(I40="   ","   ",IF(I41/I45&lt;=1,M15,M16))</f>
        <v>   </v>
      </c>
      <c r="K47" s="584"/>
      <c r="L47" s="437"/>
      <c r="M47" s="33"/>
      <c r="P47" s="8"/>
      <c r="Q47" s="9"/>
      <c r="R47" s="8"/>
      <c r="S47" s="8"/>
      <c r="T47" s="8"/>
      <c r="U47" s="8"/>
      <c r="V47" s="8"/>
      <c r="W47" s="8"/>
      <c r="X47" s="8"/>
      <c r="Y47" s="8"/>
      <c r="Z47" s="9"/>
      <c r="AA47" s="9"/>
      <c r="AB47" s="9"/>
      <c r="AC47" s="9"/>
      <c r="AD47" s="9"/>
      <c r="AE47" s="9"/>
      <c r="AF47" s="9"/>
      <c r="AG47" s="9"/>
      <c r="AH47" s="9"/>
      <c r="AI47" s="9"/>
      <c r="AJ47" s="9"/>
      <c r="AK47" s="9"/>
      <c r="AL47" s="9"/>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row>
    <row r="48" spans="1:65" s="7" customFormat="1" ht="13.5" customHeight="1">
      <c r="A48" s="36">
        <v>48</v>
      </c>
      <c r="B48" s="580"/>
      <c r="C48" s="656" t="s">
        <v>271</v>
      </c>
      <c r="D48" s="874"/>
      <c r="E48" s="185" t="s">
        <v>148</v>
      </c>
      <c r="F48" s="1022" t="s">
        <v>485</v>
      </c>
      <c r="G48" s="961"/>
      <c r="H48" s="1237"/>
      <c r="I48" s="312" t="str">
        <f>IF(I41="   ","   ",I42/I46)</f>
        <v>   </v>
      </c>
      <c r="J48" s="299" t="str">
        <f>IF(I41="   ","   ",IF(I42/I46&lt;=1,M15,M16))</f>
        <v>   </v>
      </c>
      <c r="K48" s="584"/>
      <c r="L48" s="437"/>
      <c r="M48" s="33"/>
      <c r="P48" s="8"/>
      <c r="Q48" s="9"/>
      <c r="R48" s="8"/>
      <c r="S48" s="8"/>
      <c r="T48" s="8"/>
      <c r="U48" s="8"/>
      <c r="V48" s="8"/>
      <c r="W48" s="8"/>
      <c r="X48" s="8"/>
      <c r="Y48" s="8"/>
      <c r="Z48" s="9"/>
      <c r="AA48" s="9"/>
      <c r="AB48" s="9"/>
      <c r="AC48" s="9"/>
      <c r="AD48" s="9"/>
      <c r="AE48" s="9"/>
      <c r="AF48" s="9"/>
      <c r="AG48" s="9"/>
      <c r="AH48" s="9"/>
      <c r="AI48" s="9"/>
      <c r="AJ48" s="9"/>
      <c r="AK48" s="9"/>
      <c r="AL48" s="9"/>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row>
    <row r="49" spans="1:65" s="7" customFormat="1" ht="13.5" customHeight="1">
      <c r="A49" s="36">
        <v>49</v>
      </c>
      <c r="B49" s="527"/>
      <c r="C49" s="656" t="s">
        <v>229</v>
      </c>
      <c r="D49" s="874"/>
      <c r="E49" s="185" t="s">
        <v>148</v>
      </c>
      <c r="F49" s="1022" t="s">
        <v>486</v>
      </c>
      <c r="G49" s="1184"/>
      <c r="H49" s="1185"/>
      <c r="I49" s="306" t="str">
        <f>IF(I41="   ","   ",IF(Statik!H35=Statik!N38,0,I43/I45))</f>
        <v>   </v>
      </c>
      <c r="J49" s="450" t="str">
        <f>IF(I41="   ","   ",IF(I43/I45&lt;=1,M15,M16))</f>
        <v>   </v>
      </c>
      <c r="K49" s="584"/>
      <c r="L49" s="437"/>
      <c r="M49" s="33"/>
      <c r="P49" s="8"/>
      <c r="Q49" s="9"/>
      <c r="R49" s="8"/>
      <c r="S49" s="8"/>
      <c r="T49" s="8"/>
      <c r="U49" s="8"/>
      <c r="V49" s="8"/>
      <c r="W49" s="8"/>
      <c r="X49" s="8"/>
      <c r="Y49" s="8"/>
      <c r="Z49" s="9"/>
      <c r="AA49" s="9"/>
      <c r="AB49" s="9"/>
      <c r="AC49" s="9"/>
      <c r="AD49" s="9"/>
      <c r="AE49" s="9"/>
      <c r="AF49" s="9"/>
      <c r="AG49" s="9"/>
      <c r="AH49" s="9"/>
      <c r="AI49" s="9"/>
      <c r="AJ49" s="9"/>
      <c r="AK49" s="9"/>
      <c r="AL49" s="9"/>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row>
    <row r="50" spans="1:65" s="7" customFormat="1" ht="13.5" customHeight="1">
      <c r="A50" s="36">
        <v>50</v>
      </c>
      <c r="B50" s="451"/>
      <c r="C50" s="452"/>
      <c r="D50" s="452"/>
      <c r="E50" s="234"/>
      <c r="F50" s="233"/>
      <c r="G50" s="1199" t="s">
        <v>234</v>
      </c>
      <c r="H50" s="1200"/>
      <c r="I50" s="235"/>
      <c r="J50" s="453"/>
      <c r="K50" s="621"/>
      <c r="L50" s="437"/>
      <c r="M50" s="33"/>
      <c r="P50" s="8"/>
      <c r="Q50" s="9"/>
      <c r="R50" s="8"/>
      <c r="S50" s="8"/>
      <c r="T50" s="8"/>
      <c r="U50" s="8"/>
      <c r="V50" s="8"/>
      <c r="W50" s="8"/>
      <c r="X50" s="8"/>
      <c r="Y50" s="8"/>
      <c r="Z50" s="9"/>
      <c r="AA50" s="9"/>
      <c r="AB50" s="9"/>
      <c r="AC50" s="9"/>
      <c r="AD50" s="9"/>
      <c r="AE50" s="9"/>
      <c r="AF50" s="9"/>
      <c r="AG50" s="9"/>
      <c r="AH50" s="9"/>
      <c r="AI50" s="9"/>
      <c r="AJ50" s="9"/>
      <c r="AK50" s="9"/>
      <c r="AL50" s="9"/>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row>
    <row r="51" spans="1:13" ht="12.75" customHeight="1">
      <c r="A51" s="36">
        <v>51</v>
      </c>
      <c r="B51" s="1196" t="s">
        <v>6</v>
      </c>
      <c r="C51" s="1197"/>
      <c r="D51" s="1198"/>
      <c r="E51" s="1230"/>
      <c r="F51" s="1231"/>
      <c r="G51" s="1231"/>
      <c r="H51" s="1231"/>
      <c r="I51" s="1231"/>
      <c r="J51" s="1231"/>
      <c r="K51" s="1232"/>
      <c r="M51" s="33"/>
    </row>
    <row r="52" spans="1:13" ht="12.75" customHeight="1">
      <c r="A52" s="82">
        <v>52</v>
      </c>
      <c r="B52" s="1190">
        <f ca="1">TODAY()</f>
        <v>39037</v>
      </c>
      <c r="C52" s="1191"/>
      <c r="D52" s="1192"/>
      <c r="E52" s="1229" t="s">
        <v>4</v>
      </c>
      <c r="F52" s="1191"/>
      <c r="G52" s="1192"/>
      <c r="H52" s="1208"/>
      <c r="I52" s="1209"/>
      <c r="J52" s="1240"/>
      <c r="K52" s="1241"/>
      <c r="M52" s="33"/>
    </row>
    <row r="53" spans="1:11" ht="11.25">
      <c r="A53" s="157"/>
      <c r="B53" s="1042" t="s">
        <v>260</v>
      </c>
      <c r="C53" s="1043"/>
      <c r="D53" s="1043"/>
      <c r="E53" s="20"/>
      <c r="F53" s="20"/>
      <c r="G53" s="15"/>
      <c r="H53" s="15"/>
      <c r="I53" s="15"/>
      <c r="J53" s="15"/>
      <c r="K53" s="15"/>
    </row>
    <row r="54" spans="1:11" ht="11.25">
      <c r="A54" s="157"/>
      <c r="B54" s="20"/>
      <c r="C54" s="20"/>
      <c r="D54" s="20"/>
      <c r="E54" s="20"/>
      <c r="F54" s="20"/>
      <c r="G54" s="15"/>
      <c r="H54" s="15"/>
      <c r="I54" s="15"/>
      <c r="J54" s="15"/>
      <c r="K54" s="15"/>
    </row>
    <row r="55" spans="1:11" ht="11.25">
      <c r="A55" s="157"/>
      <c r="B55" s="20"/>
      <c r="C55" s="20"/>
      <c r="D55" s="20"/>
      <c r="E55" s="20"/>
      <c r="F55" s="20"/>
      <c r="G55" s="15"/>
      <c r="H55" s="15"/>
      <c r="I55" s="15"/>
      <c r="J55" s="15"/>
      <c r="K55" s="15"/>
    </row>
    <row r="56" spans="1:11" ht="11.25">
      <c r="A56" s="157"/>
      <c r="B56" s="20"/>
      <c r="C56" s="20"/>
      <c r="D56" s="20"/>
      <c r="E56" s="20"/>
      <c r="F56" s="20"/>
      <c r="G56" s="15"/>
      <c r="H56" s="15"/>
      <c r="I56" s="15"/>
      <c r="J56" s="15"/>
      <c r="K56" s="15"/>
    </row>
    <row r="57" spans="1:11" ht="11.25">
      <c r="A57" s="157"/>
      <c r="B57" s="20"/>
      <c r="C57" s="20"/>
      <c r="D57" s="20"/>
      <c r="E57" s="20"/>
      <c r="F57" s="20"/>
      <c r="G57" s="15"/>
      <c r="H57" s="15"/>
      <c r="I57" s="15"/>
      <c r="J57" s="15"/>
      <c r="K57" s="15"/>
    </row>
    <row r="58" spans="1:11" ht="11.25">
      <c r="A58" s="157"/>
      <c r="B58" s="20"/>
      <c r="C58" s="20"/>
      <c r="D58" s="20"/>
      <c r="E58" s="20"/>
      <c r="F58" s="20"/>
      <c r="G58" s="15"/>
      <c r="H58" s="15"/>
      <c r="I58" s="15"/>
      <c r="J58" s="15"/>
      <c r="K58" s="15"/>
    </row>
    <row r="59" spans="1:11" ht="11.25">
      <c r="A59" s="157"/>
      <c r="B59" s="20"/>
      <c r="C59" s="20"/>
      <c r="D59" s="20"/>
      <c r="E59" s="20"/>
      <c r="F59" s="20"/>
      <c r="G59" s="15"/>
      <c r="H59" s="15"/>
      <c r="I59" s="15"/>
      <c r="J59" s="15"/>
      <c r="K59" s="15"/>
    </row>
    <row r="60" spans="1:11" ht="11.25">
      <c r="A60" s="157"/>
      <c r="B60" s="20"/>
      <c r="C60" s="20"/>
      <c r="D60" s="20"/>
      <c r="E60" s="20"/>
      <c r="F60" s="20"/>
      <c r="G60" s="15"/>
      <c r="H60" s="15"/>
      <c r="I60" s="15"/>
      <c r="J60" s="15"/>
      <c r="K60" s="15"/>
    </row>
    <row r="61" spans="1:11" ht="11.25">
      <c r="A61" s="157"/>
      <c r="B61" s="20"/>
      <c r="C61" s="20"/>
      <c r="D61" s="20"/>
      <c r="E61" s="20"/>
      <c r="F61" s="20"/>
      <c r="G61" s="15"/>
      <c r="H61" s="15"/>
      <c r="I61" s="15"/>
      <c r="J61" s="15"/>
      <c r="K61" s="15"/>
    </row>
    <row r="62" spans="1:11" ht="11.25">
      <c r="A62" s="157"/>
      <c r="B62" s="20"/>
      <c r="C62" s="20"/>
      <c r="D62" s="20"/>
      <c r="E62" s="20"/>
      <c r="F62" s="20"/>
      <c r="G62" s="15"/>
      <c r="H62" s="15"/>
      <c r="I62" s="15"/>
      <c r="J62" s="15"/>
      <c r="K62" s="15"/>
    </row>
    <row r="63" spans="1:11" ht="11.25">
      <c r="A63" s="157"/>
      <c r="B63" s="20"/>
      <c r="C63" s="20"/>
      <c r="D63" s="20"/>
      <c r="E63" s="20"/>
      <c r="F63" s="20"/>
      <c r="G63" s="15"/>
      <c r="H63" s="15"/>
      <c r="I63" s="15"/>
      <c r="J63" s="15"/>
      <c r="K63" s="15"/>
    </row>
    <row r="64" spans="1:11" ht="11.25">
      <c r="A64" s="157"/>
      <c r="B64" s="20"/>
      <c r="C64" s="20"/>
      <c r="D64" s="20"/>
      <c r="E64" s="20"/>
      <c r="F64" s="20"/>
      <c r="G64" s="15"/>
      <c r="H64" s="15"/>
      <c r="I64" s="15"/>
      <c r="J64" s="15"/>
      <c r="K64" s="15"/>
    </row>
    <row r="65" spans="1:11" ht="11.25">
      <c r="A65" s="157"/>
      <c r="B65" s="20"/>
      <c r="C65" s="20"/>
      <c r="D65" s="20"/>
      <c r="E65" s="20"/>
      <c r="F65" s="20"/>
      <c r="G65" s="15"/>
      <c r="H65" s="15"/>
      <c r="I65" s="15"/>
      <c r="J65" s="15"/>
      <c r="K65" s="15"/>
    </row>
    <row r="66" spans="1:11" ht="11.25">
      <c r="A66" s="157"/>
      <c r="B66" s="20"/>
      <c r="C66" s="20"/>
      <c r="D66" s="20"/>
      <c r="E66" s="20"/>
      <c r="F66" s="20"/>
      <c r="G66" s="15"/>
      <c r="H66" s="15"/>
      <c r="I66" s="15"/>
      <c r="J66" s="15"/>
      <c r="K66" s="15"/>
    </row>
    <row r="67" spans="1:11" ht="11.25">
      <c r="A67" s="157"/>
      <c r="B67" s="20"/>
      <c r="C67" s="20"/>
      <c r="D67" s="20"/>
      <c r="E67" s="20"/>
      <c r="F67" s="20"/>
      <c r="G67" s="15"/>
      <c r="H67" s="15"/>
      <c r="I67" s="15"/>
      <c r="J67" s="15"/>
      <c r="K67" s="15"/>
    </row>
    <row r="68" spans="1:11" ht="11.25">
      <c r="A68" s="157"/>
      <c r="B68" s="20"/>
      <c r="C68" s="20"/>
      <c r="D68" s="20"/>
      <c r="E68" s="20"/>
      <c r="F68" s="20"/>
      <c r="G68" s="15"/>
      <c r="H68" s="15"/>
      <c r="I68" s="15"/>
      <c r="J68" s="15"/>
      <c r="K68" s="15"/>
    </row>
    <row r="69" spans="1:11" ht="11.25">
      <c r="A69" s="157"/>
      <c r="B69" s="20"/>
      <c r="C69" s="20"/>
      <c r="D69" s="20"/>
      <c r="E69" s="20"/>
      <c r="F69" s="20"/>
      <c r="G69" s="15"/>
      <c r="H69" s="15"/>
      <c r="I69" s="15"/>
      <c r="J69" s="15"/>
      <c r="K69" s="15"/>
    </row>
    <row r="70" spans="1:11" ht="11.25">
      <c r="A70" s="157"/>
      <c r="B70" s="20"/>
      <c r="C70" s="20"/>
      <c r="D70" s="20"/>
      <c r="E70" s="20"/>
      <c r="F70" s="20"/>
      <c r="G70" s="15"/>
      <c r="H70" s="15"/>
      <c r="I70" s="15"/>
      <c r="J70" s="15"/>
      <c r="K70" s="15"/>
    </row>
    <row r="71" spans="1:11" ht="11.25">
      <c r="A71" s="157"/>
      <c r="B71" s="20"/>
      <c r="C71" s="20"/>
      <c r="D71" s="20"/>
      <c r="E71" s="20"/>
      <c r="F71" s="20"/>
      <c r="G71" s="15"/>
      <c r="H71" s="15"/>
      <c r="I71" s="15"/>
      <c r="J71" s="15"/>
      <c r="K71" s="15"/>
    </row>
    <row r="137" ht="11.25">
      <c r="M137" s="114"/>
    </row>
  </sheetData>
  <sheetProtection password="9895" sheet="1" objects="1" scenarios="1"/>
  <mergeCells count="104">
    <mergeCell ref="F8:J8"/>
    <mergeCell ref="F17:G17"/>
    <mergeCell ref="I17:J18"/>
    <mergeCell ref="I23:J23"/>
    <mergeCell ref="F21:G21"/>
    <mergeCell ref="F23:G23"/>
    <mergeCell ref="F22:G22"/>
    <mergeCell ref="I22:J22"/>
    <mergeCell ref="F18:G18"/>
    <mergeCell ref="J52:K52"/>
    <mergeCell ref="I39:J39"/>
    <mergeCell ref="F7:G7"/>
    <mergeCell ref="H7:K7"/>
    <mergeCell ref="I19:J19"/>
    <mergeCell ref="F20:I20"/>
    <mergeCell ref="F14:G14"/>
    <mergeCell ref="F15:G15"/>
    <mergeCell ref="I15:J15"/>
    <mergeCell ref="F12:G12"/>
    <mergeCell ref="B27:H27"/>
    <mergeCell ref="I27:J27"/>
    <mergeCell ref="E52:G52"/>
    <mergeCell ref="E51:K51"/>
    <mergeCell ref="I37:J37"/>
    <mergeCell ref="I38:J38"/>
    <mergeCell ref="F49:H49"/>
    <mergeCell ref="F48:H48"/>
    <mergeCell ref="F37:H37"/>
    <mergeCell ref="F40:H40"/>
    <mergeCell ref="I35:J35"/>
    <mergeCell ref="F38:H38"/>
    <mergeCell ref="F32:H32"/>
    <mergeCell ref="B36:F36"/>
    <mergeCell ref="F35:H35"/>
    <mergeCell ref="F34:H34"/>
    <mergeCell ref="B33:D33"/>
    <mergeCell ref="B32:D32"/>
    <mergeCell ref="B34:D34"/>
    <mergeCell ref="G36:H36"/>
    <mergeCell ref="F26:H26"/>
    <mergeCell ref="I21:J21"/>
    <mergeCell ref="F11:G11"/>
    <mergeCell ref="I12:J12"/>
    <mergeCell ref="F16:G16"/>
    <mergeCell ref="I16:J16"/>
    <mergeCell ref="F13:G13"/>
    <mergeCell ref="I13:J13"/>
    <mergeCell ref="B1:C1"/>
    <mergeCell ref="D1:J1"/>
    <mergeCell ref="D2:K2"/>
    <mergeCell ref="D3:K3"/>
    <mergeCell ref="B4:K4"/>
    <mergeCell ref="B5:K5"/>
    <mergeCell ref="B6:K6"/>
    <mergeCell ref="I26:J26"/>
    <mergeCell ref="F9:G9"/>
    <mergeCell ref="I9:J9"/>
    <mergeCell ref="B15:C15"/>
    <mergeCell ref="I24:J24"/>
    <mergeCell ref="F10:G10"/>
    <mergeCell ref="I10:J10"/>
    <mergeCell ref="B53:D53"/>
    <mergeCell ref="C24:D24"/>
    <mergeCell ref="I46:J46"/>
    <mergeCell ref="B43:D43"/>
    <mergeCell ref="F43:H43"/>
    <mergeCell ref="I43:J43"/>
    <mergeCell ref="I41:J41"/>
    <mergeCell ref="I42:J42"/>
    <mergeCell ref="B45:D45"/>
    <mergeCell ref="H52:I52"/>
    <mergeCell ref="I45:J45"/>
    <mergeCell ref="F46:H46"/>
    <mergeCell ref="B46:D46"/>
    <mergeCell ref="F47:H47"/>
    <mergeCell ref="C47:D47"/>
    <mergeCell ref="B52:D52"/>
    <mergeCell ref="B37:D37"/>
    <mergeCell ref="B38:D38"/>
    <mergeCell ref="B39:G39"/>
    <mergeCell ref="F44:H44"/>
    <mergeCell ref="B51:D51"/>
    <mergeCell ref="F45:H45"/>
    <mergeCell ref="G50:H50"/>
    <mergeCell ref="C48:D48"/>
    <mergeCell ref="C49:D49"/>
    <mergeCell ref="B29:D29"/>
    <mergeCell ref="F33:H33"/>
    <mergeCell ref="I33:J33"/>
    <mergeCell ref="B28:D28"/>
    <mergeCell ref="F28:H28"/>
    <mergeCell ref="F29:H29"/>
    <mergeCell ref="B30:D30"/>
    <mergeCell ref="F30:H30"/>
    <mergeCell ref="B31:D31"/>
    <mergeCell ref="F31:H31"/>
    <mergeCell ref="I44:J44"/>
    <mergeCell ref="B40:D40"/>
    <mergeCell ref="B42:D42"/>
    <mergeCell ref="F42:H42"/>
    <mergeCell ref="B41:D41"/>
    <mergeCell ref="F41:H41"/>
    <mergeCell ref="B44:D44"/>
    <mergeCell ref="I40:J40"/>
  </mergeCells>
  <printOptions/>
  <pageMargins left="0.7874015748031497" right="0.4724409448818898" top="0.9055118110236221" bottom="0" header="0.68" footer="0"/>
  <pageSetup horizontalDpi="300" verticalDpi="300" orientation="portrait" paperSize="9" r:id="rId5"/>
  <headerFooter alignWithMargins="0">
    <oddHeader>&amp;L    T&amp;9echnische Berechnung: Behälter und Apparate aus Thermoplasten</oddHeader>
  </headerFooter>
  <drawing r:id="rId4"/>
  <legacyDrawing r:id="rId3"/>
  <oleObjects>
    <oleObject progId="TurboCAD.Drawing.4" shapeId="368978" r:id="rId2"/>
  </oleObjects>
</worksheet>
</file>

<file path=xl/worksheets/sheet4.xml><?xml version="1.0" encoding="utf-8"?>
<worksheet xmlns="http://schemas.openxmlformats.org/spreadsheetml/2006/main" xmlns:r="http://schemas.openxmlformats.org/officeDocument/2006/relationships">
  <sheetPr>
    <tabColor indexed="34"/>
  </sheetPr>
  <dimension ref="A1:EV156"/>
  <sheetViews>
    <sheetView showGridLines="0" zoomScale="125" zoomScaleNormal="125" workbookViewId="0" topLeftCell="A1">
      <pane xSplit="1" ySplit="4" topLeftCell="B5" activePane="bottomRight" state="frozen"/>
      <selection pane="topLeft" activeCell="A1" sqref="A1"/>
      <selection pane="topRight" activeCell="B1" sqref="B1"/>
      <selection pane="bottomLeft" activeCell="A5" sqref="A5"/>
      <selection pane="bottomRight" activeCell="B143" sqref="B143:C143"/>
    </sheetView>
  </sheetViews>
  <sheetFormatPr defaultColWidth="11.421875" defaultRowHeight="12.75"/>
  <cols>
    <col min="1" max="1" width="36.00390625" style="3" customWidth="1"/>
    <col min="2" max="21" width="5.7109375" style="3" customWidth="1"/>
    <col min="22" max="22" width="5.7109375" style="54" customWidth="1"/>
    <col min="23" max="31" width="5.7109375" style="3" customWidth="1"/>
    <col min="32" max="32" width="5.7109375" style="54" customWidth="1"/>
    <col min="33" max="41" width="5.7109375" style="3" customWidth="1"/>
    <col min="42" max="42" width="5.7109375" style="54" customWidth="1"/>
    <col min="43" max="51" width="5.7109375" style="3" customWidth="1"/>
    <col min="52" max="52" width="5.7109375" style="54" customWidth="1"/>
    <col min="53" max="61" width="5.7109375" style="3" customWidth="1"/>
    <col min="62" max="62" width="5.7109375" style="54" customWidth="1"/>
    <col min="63" max="71" width="5.7109375" style="3" customWidth="1"/>
    <col min="72" max="72" width="5.7109375" style="54" customWidth="1"/>
    <col min="73" max="81" width="5.7109375" style="3" customWidth="1"/>
    <col min="82" max="82" width="5.7109375" style="54" customWidth="1"/>
    <col min="83" max="91" width="5.7109375" style="3" customWidth="1"/>
    <col min="92" max="92" width="5.7109375" style="54" customWidth="1"/>
    <col min="93" max="101" width="5.7109375" style="3" customWidth="1"/>
    <col min="102" max="102" width="5.7109375" style="54" customWidth="1"/>
    <col min="103" max="111" width="5.7109375" style="3" customWidth="1"/>
    <col min="112" max="112" width="5.7109375" style="54" customWidth="1"/>
    <col min="113" max="121" width="5.7109375" style="3" customWidth="1"/>
    <col min="122" max="122" width="5.7109375" style="54" customWidth="1"/>
    <col min="123" max="131" width="5.7109375" style="3" customWidth="1"/>
    <col min="132" max="132" width="5.7109375" style="55" customWidth="1"/>
    <col min="133" max="141" width="5.7109375" style="56" customWidth="1"/>
    <col min="142" max="142" width="5.7109375" style="55" customWidth="1"/>
    <col min="143" max="151" width="5.7109375" style="56" customWidth="1"/>
    <col min="152" max="152" width="5.7109375" style="55" customWidth="1"/>
    <col min="153" max="164" width="5.7109375" style="3" customWidth="1"/>
    <col min="165" max="16384" width="11.421875" style="3" customWidth="1"/>
  </cols>
  <sheetData>
    <row r="1" spans="1:152" s="4" customFormat="1" ht="19.5" customHeight="1">
      <c r="A1" s="482" t="s">
        <v>245</v>
      </c>
      <c r="EB1" s="5"/>
      <c r="EC1" s="5"/>
      <c r="ED1" s="5"/>
      <c r="EE1" s="5"/>
      <c r="EF1" s="5"/>
      <c r="EG1" s="5"/>
      <c r="EH1" s="5"/>
      <c r="EI1" s="5"/>
      <c r="EJ1" s="5"/>
      <c r="EK1" s="5"/>
      <c r="EL1" s="5"/>
      <c r="EM1" s="5"/>
      <c r="EN1" s="5"/>
      <c r="EO1" s="5"/>
      <c r="EP1" s="5"/>
      <c r="EQ1" s="5"/>
      <c r="ER1" s="5"/>
      <c r="ES1" s="5"/>
      <c r="ET1" s="5"/>
      <c r="EU1" s="5"/>
      <c r="EV1" s="5"/>
    </row>
    <row r="2" spans="1:152" s="4" customFormat="1" ht="13.5" customHeight="1">
      <c r="A2" s="47" t="s">
        <v>125</v>
      </c>
      <c r="B2" s="47"/>
      <c r="C2" s="47"/>
      <c r="D2" s="47"/>
      <c r="E2" s="47"/>
      <c r="F2" s="47"/>
      <c r="G2" s="47"/>
      <c r="H2" s="47"/>
      <c r="I2" s="47"/>
      <c r="J2" s="47"/>
      <c r="K2" s="47"/>
      <c r="L2" s="47"/>
      <c r="M2" s="47"/>
      <c r="N2" s="48"/>
      <c r="O2" s="1269" t="s">
        <v>71</v>
      </c>
      <c r="P2" s="1269"/>
      <c r="Q2" s="1269"/>
      <c r="R2" s="1269"/>
      <c r="S2" s="1269"/>
      <c r="T2" s="1269"/>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9"/>
      <c r="EC2" s="49"/>
      <c r="ED2" s="49"/>
      <c r="EE2" s="49"/>
      <c r="EF2" s="49"/>
      <c r="EG2" s="49"/>
      <c r="EH2" s="49"/>
      <c r="EI2" s="49"/>
      <c r="EJ2" s="49"/>
      <c r="EK2" s="49"/>
      <c r="EL2" s="49"/>
      <c r="EM2" s="49"/>
      <c r="EN2" s="49"/>
      <c r="EO2" s="49"/>
      <c r="EP2" s="49"/>
      <c r="EQ2" s="49"/>
      <c r="ER2" s="49"/>
      <c r="ES2" s="49"/>
      <c r="ET2" s="49"/>
      <c r="EU2" s="49"/>
      <c r="EV2" s="49"/>
    </row>
    <row r="3" spans="1:152" s="50" customFormat="1" ht="13.5" customHeight="1">
      <c r="A3" s="50" t="s">
        <v>88</v>
      </c>
      <c r="B3" s="50">
        <v>-10</v>
      </c>
      <c r="C3" s="50">
        <v>-9</v>
      </c>
      <c r="D3" s="50">
        <v>-8</v>
      </c>
      <c r="E3" s="50">
        <v>-7</v>
      </c>
      <c r="F3" s="50">
        <v>-6</v>
      </c>
      <c r="G3" s="50">
        <v>-5</v>
      </c>
      <c r="H3" s="50">
        <v>-4</v>
      </c>
      <c r="I3" s="50">
        <v>-3</v>
      </c>
      <c r="J3" s="50">
        <v>-2</v>
      </c>
      <c r="K3" s="50">
        <v>-1</v>
      </c>
      <c r="L3" s="50">
        <v>0</v>
      </c>
      <c r="M3" s="50">
        <v>1</v>
      </c>
      <c r="N3" s="57">
        <v>2</v>
      </c>
      <c r="O3" s="57">
        <v>3</v>
      </c>
      <c r="P3" s="57">
        <v>4</v>
      </c>
      <c r="Q3" s="57">
        <v>5</v>
      </c>
      <c r="R3" s="57">
        <v>6</v>
      </c>
      <c r="S3" s="57">
        <v>7</v>
      </c>
      <c r="T3" s="57">
        <v>8</v>
      </c>
      <c r="U3" s="57">
        <v>9</v>
      </c>
      <c r="V3" s="57">
        <v>10</v>
      </c>
      <c r="W3" s="57">
        <v>11</v>
      </c>
      <c r="X3" s="57">
        <v>12</v>
      </c>
      <c r="Y3" s="57">
        <v>13</v>
      </c>
      <c r="Z3" s="57">
        <v>14</v>
      </c>
      <c r="AA3" s="57">
        <v>15</v>
      </c>
      <c r="AB3" s="57">
        <v>16</v>
      </c>
      <c r="AC3" s="57">
        <v>17</v>
      </c>
      <c r="AD3" s="57">
        <v>18</v>
      </c>
      <c r="AE3" s="57">
        <v>19</v>
      </c>
      <c r="AF3" s="57">
        <v>20</v>
      </c>
      <c r="AG3" s="57">
        <v>21</v>
      </c>
      <c r="AH3" s="57">
        <v>22</v>
      </c>
      <c r="AI3" s="57">
        <v>23</v>
      </c>
      <c r="AJ3" s="57">
        <v>24</v>
      </c>
      <c r="AK3" s="57">
        <v>25</v>
      </c>
      <c r="AL3" s="57">
        <v>26</v>
      </c>
      <c r="AM3" s="57">
        <v>27</v>
      </c>
      <c r="AN3" s="57">
        <v>28</v>
      </c>
      <c r="AO3" s="57">
        <v>29</v>
      </c>
      <c r="AP3" s="57">
        <v>30</v>
      </c>
      <c r="AQ3" s="57">
        <v>31</v>
      </c>
      <c r="AR3" s="57">
        <v>32</v>
      </c>
      <c r="AS3" s="57">
        <v>33</v>
      </c>
      <c r="AT3" s="57">
        <v>34</v>
      </c>
      <c r="AU3" s="57">
        <v>35</v>
      </c>
      <c r="AV3" s="57">
        <v>36</v>
      </c>
      <c r="AW3" s="57">
        <v>37</v>
      </c>
      <c r="AX3" s="57">
        <v>38</v>
      </c>
      <c r="AY3" s="57">
        <v>39</v>
      </c>
      <c r="AZ3" s="57">
        <v>40</v>
      </c>
      <c r="BA3" s="57">
        <v>41</v>
      </c>
      <c r="BB3" s="57">
        <v>42</v>
      </c>
      <c r="BC3" s="57">
        <v>43</v>
      </c>
      <c r="BD3" s="57">
        <v>44</v>
      </c>
      <c r="BE3" s="57">
        <v>45</v>
      </c>
      <c r="BF3" s="57">
        <v>46</v>
      </c>
      <c r="BG3" s="57">
        <v>47</v>
      </c>
      <c r="BH3" s="57">
        <v>48</v>
      </c>
      <c r="BI3" s="57">
        <v>49</v>
      </c>
      <c r="BJ3" s="57">
        <v>50</v>
      </c>
      <c r="BK3" s="57">
        <v>51</v>
      </c>
      <c r="BL3" s="57">
        <v>52</v>
      </c>
      <c r="BM3" s="57">
        <v>53</v>
      </c>
      <c r="BN3" s="57">
        <v>54</v>
      </c>
      <c r="BO3" s="57">
        <v>55</v>
      </c>
      <c r="BP3" s="57">
        <v>56</v>
      </c>
      <c r="BQ3" s="57">
        <v>57</v>
      </c>
      <c r="BR3" s="57">
        <v>58</v>
      </c>
      <c r="BS3" s="57">
        <v>59</v>
      </c>
      <c r="BT3" s="57">
        <v>60</v>
      </c>
      <c r="BU3" s="57">
        <v>61</v>
      </c>
      <c r="BV3" s="57">
        <v>62</v>
      </c>
      <c r="BW3" s="57">
        <v>63</v>
      </c>
      <c r="BX3" s="57">
        <v>64</v>
      </c>
      <c r="BY3" s="57">
        <v>65</v>
      </c>
      <c r="BZ3" s="57">
        <v>66</v>
      </c>
      <c r="CA3" s="57">
        <v>67</v>
      </c>
      <c r="CB3" s="57">
        <v>68</v>
      </c>
      <c r="CC3" s="57">
        <v>69</v>
      </c>
      <c r="CD3" s="57">
        <v>70</v>
      </c>
      <c r="CE3" s="57">
        <v>71</v>
      </c>
      <c r="CF3" s="57">
        <v>72</v>
      </c>
      <c r="CG3" s="57">
        <v>73</v>
      </c>
      <c r="CH3" s="57">
        <v>74</v>
      </c>
      <c r="CI3" s="57">
        <v>75</v>
      </c>
      <c r="CJ3" s="57">
        <v>76</v>
      </c>
      <c r="CK3" s="57">
        <v>77</v>
      </c>
      <c r="CL3" s="57">
        <v>78</v>
      </c>
      <c r="CM3" s="57">
        <v>79</v>
      </c>
      <c r="CN3" s="57">
        <v>80</v>
      </c>
      <c r="CO3" s="57">
        <v>81</v>
      </c>
      <c r="CP3" s="57">
        <v>82</v>
      </c>
      <c r="CQ3" s="57">
        <v>83</v>
      </c>
      <c r="CR3" s="57">
        <v>84</v>
      </c>
      <c r="CS3" s="57">
        <v>85</v>
      </c>
      <c r="CT3" s="57">
        <v>86</v>
      </c>
      <c r="CU3" s="57">
        <v>87</v>
      </c>
      <c r="CV3" s="57">
        <v>88</v>
      </c>
      <c r="CW3" s="57">
        <v>89</v>
      </c>
      <c r="CX3" s="57">
        <v>90</v>
      </c>
      <c r="CY3" s="57">
        <v>91</v>
      </c>
      <c r="CZ3" s="57">
        <v>92</v>
      </c>
      <c r="DA3" s="57">
        <v>93</v>
      </c>
      <c r="DB3" s="57">
        <v>94</v>
      </c>
      <c r="DC3" s="57">
        <v>95</v>
      </c>
      <c r="DD3" s="57">
        <v>96</v>
      </c>
      <c r="DE3" s="57">
        <v>97</v>
      </c>
      <c r="DF3" s="57">
        <v>98</v>
      </c>
      <c r="DG3" s="57">
        <v>99</v>
      </c>
      <c r="DH3" s="57">
        <v>100</v>
      </c>
      <c r="DI3" s="57">
        <v>101</v>
      </c>
      <c r="DJ3" s="57">
        <v>102</v>
      </c>
      <c r="DK3" s="57">
        <v>103</v>
      </c>
      <c r="DL3" s="57">
        <v>104</v>
      </c>
      <c r="DM3" s="57">
        <v>105</v>
      </c>
      <c r="DN3" s="57">
        <v>106</v>
      </c>
      <c r="DO3" s="57">
        <v>107</v>
      </c>
      <c r="DP3" s="57">
        <v>108</v>
      </c>
      <c r="DQ3" s="57">
        <v>109</v>
      </c>
      <c r="DR3" s="57">
        <v>110</v>
      </c>
      <c r="DS3" s="57">
        <v>111</v>
      </c>
      <c r="DT3" s="57">
        <v>112</v>
      </c>
      <c r="DU3" s="57">
        <v>113</v>
      </c>
      <c r="DV3" s="57">
        <v>114</v>
      </c>
      <c r="DW3" s="57">
        <v>115</v>
      </c>
      <c r="DX3" s="57">
        <v>116</v>
      </c>
      <c r="DY3" s="57">
        <v>117</v>
      </c>
      <c r="DZ3" s="57">
        <v>118</v>
      </c>
      <c r="EA3" s="57">
        <v>119</v>
      </c>
      <c r="EB3" s="57">
        <v>120</v>
      </c>
      <c r="EC3" s="57">
        <v>121</v>
      </c>
      <c r="ED3" s="57">
        <v>122</v>
      </c>
      <c r="EE3" s="57">
        <v>123</v>
      </c>
      <c r="EF3" s="57">
        <v>124</v>
      </c>
      <c r="EG3" s="57">
        <v>125</v>
      </c>
      <c r="EH3" s="57">
        <v>126</v>
      </c>
      <c r="EI3" s="57">
        <v>127</v>
      </c>
      <c r="EJ3" s="57">
        <v>128</v>
      </c>
      <c r="EK3" s="57">
        <v>129</v>
      </c>
      <c r="EL3" s="57">
        <v>130</v>
      </c>
      <c r="EM3" s="57">
        <v>131</v>
      </c>
      <c r="EN3" s="57">
        <v>132</v>
      </c>
      <c r="EO3" s="57">
        <v>133</v>
      </c>
      <c r="EP3" s="57">
        <v>134</v>
      </c>
      <c r="EQ3" s="57">
        <v>135</v>
      </c>
      <c r="ER3" s="57">
        <v>136</v>
      </c>
      <c r="ES3" s="57">
        <v>137</v>
      </c>
      <c r="ET3" s="57">
        <v>138</v>
      </c>
      <c r="EU3" s="57">
        <v>139</v>
      </c>
      <c r="EV3" s="58">
        <v>140</v>
      </c>
    </row>
    <row r="4" spans="1:152" s="50" customFormat="1" ht="13.5" customHeight="1">
      <c r="A4" s="115" t="s">
        <v>87</v>
      </c>
      <c r="B4" s="115">
        <v>2</v>
      </c>
      <c r="C4" s="115">
        <v>3</v>
      </c>
      <c r="D4" s="115">
        <v>4</v>
      </c>
      <c r="E4" s="115">
        <v>5</v>
      </c>
      <c r="F4" s="115">
        <v>6</v>
      </c>
      <c r="G4" s="115">
        <v>7</v>
      </c>
      <c r="H4" s="115">
        <v>8</v>
      </c>
      <c r="I4" s="115">
        <v>9</v>
      </c>
      <c r="J4" s="115">
        <v>10</v>
      </c>
      <c r="K4" s="115">
        <v>11</v>
      </c>
      <c r="L4" s="115">
        <v>12</v>
      </c>
      <c r="M4" s="115">
        <v>13</v>
      </c>
      <c r="N4" s="115">
        <v>14</v>
      </c>
      <c r="O4" s="115">
        <v>15</v>
      </c>
      <c r="P4" s="115">
        <v>16</v>
      </c>
      <c r="Q4" s="115">
        <v>17</v>
      </c>
      <c r="R4" s="115">
        <v>18</v>
      </c>
      <c r="S4" s="115">
        <v>19</v>
      </c>
      <c r="T4" s="115">
        <v>20</v>
      </c>
      <c r="U4" s="115">
        <v>21</v>
      </c>
      <c r="V4" s="115">
        <v>22</v>
      </c>
      <c r="W4" s="115">
        <v>23</v>
      </c>
      <c r="X4" s="115">
        <v>24</v>
      </c>
      <c r="Y4" s="115">
        <v>25</v>
      </c>
      <c r="Z4" s="115">
        <v>26</v>
      </c>
      <c r="AA4" s="115">
        <v>27</v>
      </c>
      <c r="AB4" s="115">
        <v>28</v>
      </c>
      <c r="AC4" s="115">
        <v>29</v>
      </c>
      <c r="AD4" s="115">
        <v>30</v>
      </c>
      <c r="AE4" s="115">
        <v>31</v>
      </c>
      <c r="AF4" s="115">
        <v>32</v>
      </c>
      <c r="AG4" s="115">
        <v>33</v>
      </c>
      <c r="AH4" s="115">
        <v>34</v>
      </c>
      <c r="AI4" s="115">
        <v>35</v>
      </c>
      <c r="AJ4" s="115">
        <v>36</v>
      </c>
      <c r="AK4" s="115">
        <v>37</v>
      </c>
      <c r="AL4" s="115">
        <v>38</v>
      </c>
      <c r="AM4" s="115">
        <v>39</v>
      </c>
      <c r="AN4" s="115">
        <v>40</v>
      </c>
      <c r="AO4" s="115">
        <v>41</v>
      </c>
      <c r="AP4" s="115">
        <v>42</v>
      </c>
      <c r="AQ4" s="115">
        <v>43</v>
      </c>
      <c r="AR4" s="115">
        <v>44</v>
      </c>
      <c r="AS4" s="115">
        <v>45</v>
      </c>
      <c r="AT4" s="115">
        <v>46</v>
      </c>
      <c r="AU4" s="115">
        <v>47</v>
      </c>
      <c r="AV4" s="115">
        <v>48</v>
      </c>
      <c r="AW4" s="115">
        <v>49</v>
      </c>
      <c r="AX4" s="115">
        <v>50</v>
      </c>
      <c r="AY4" s="115">
        <v>51</v>
      </c>
      <c r="AZ4" s="115">
        <v>52</v>
      </c>
      <c r="BA4" s="115">
        <v>53</v>
      </c>
      <c r="BB4" s="115">
        <v>54</v>
      </c>
      <c r="BC4" s="115">
        <v>55</v>
      </c>
      <c r="BD4" s="115">
        <v>56</v>
      </c>
      <c r="BE4" s="115">
        <v>57</v>
      </c>
      <c r="BF4" s="115">
        <v>58</v>
      </c>
      <c r="BG4" s="115">
        <v>59</v>
      </c>
      <c r="BH4" s="115">
        <v>60</v>
      </c>
      <c r="BI4" s="115">
        <v>61</v>
      </c>
      <c r="BJ4" s="115">
        <v>62</v>
      </c>
      <c r="BK4" s="115">
        <v>63</v>
      </c>
      <c r="BL4" s="115">
        <v>64</v>
      </c>
      <c r="BM4" s="115">
        <v>65</v>
      </c>
      <c r="BN4" s="115">
        <v>66</v>
      </c>
      <c r="BO4" s="115">
        <v>67</v>
      </c>
      <c r="BP4" s="115">
        <v>68</v>
      </c>
      <c r="BQ4" s="115">
        <v>69</v>
      </c>
      <c r="BR4" s="115">
        <v>70</v>
      </c>
      <c r="BS4" s="115">
        <v>71</v>
      </c>
      <c r="BT4" s="115">
        <v>72</v>
      </c>
      <c r="BU4" s="115">
        <v>73</v>
      </c>
      <c r="BV4" s="115">
        <v>74</v>
      </c>
      <c r="BW4" s="115">
        <v>75</v>
      </c>
      <c r="BX4" s="115">
        <v>76</v>
      </c>
      <c r="BY4" s="115">
        <v>77</v>
      </c>
      <c r="BZ4" s="115">
        <v>78</v>
      </c>
      <c r="CA4" s="115">
        <v>79</v>
      </c>
      <c r="CB4" s="115">
        <v>80</v>
      </c>
      <c r="CC4" s="115">
        <v>81</v>
      </c>
      <c r="CD4" s="115">
        <v>82</v>
      </c>
      <c r="CE4" s="115">
        <v>83</v>
      </c>
      <c r="CF4" s="115">
        <v>84</v>
      </c>
      <c r="CG4" s="115">
        <v>85</v>
      </c>
      <c r="CH4" s="115">
        <v>86</v>
      </c>
      <c r="CI4" s="115">
        <v>87</v>
      </c>
      <c r="CJ4" s="115">
        <v>88</v>
      </c>
      <c r="CK4" s="115">
        <v>89</v>
      </c>
      <c r="CL4" s="115">
        <v>90</v>
      </c>
      <c r="CM4" s="115">
        <v>91</v>
      </c>
      <c r="CN4" s="115">
        <v>92</v>
      </c>
      <c r="CO4" s="115">
        <v>93</v>
      </c>
      <c r="CP4" s="115">
        <v>94</v>
      </c>
      <c r="CQ4" s="115">
        <v>95</v>
      </c>
      <c r="CR4" s="115">
        <v>96</v>
      </c>
      <c r="CS4" s="115">
        <v>97</v>
      </c>
      <c r="CT4" s="115">
        <v>98</v>
      </c>
      <c r="CU4" s="115">
        <v>99</v>
      </c>
      <c r="CV4" s="115">
        <v>100</v>
      </c>
      <c r="CW4" s="115">
        <v>101</v>
      </c>
      <c r="CX4" s="115">
        <v>102</v>
      </c>
      <c r="CY4" s="115">
        <v>103</v>
      </c>
      <c r="CZ4" s="115">
        <v>104</v>
      </c>
      <c r="DA4" s="115">
        <v>105</v>
      </c>
      <c r="DB4" s="115">
        <v>106</v>
      </c>
      <c r="DC4" s="115">
        <v>107</v>
      </c>
      <c r="DD4" s="115">
        <v>108</v>
      </c>
      <c r="DE4" s="115">
        <v>109</v>
      </c>
      <c r="DF4" s="115">
        <v>110</v>
      </c>
      <c r="DG4" s="115">
        <v>111</v>
      </c>
      <c r="DH4" s="115">
        <v>112</v>
      </c>
      <c r="DI4" s="115">
        <v>113</v>
      </c>
      <c r="DJ4" s="115">
        <v>114</v>
      </c>
      <c r="DK4" s="115">
        <v>115</v>
      </c>
      <c r="DL4" s="115">
        <v>116</v>
      </c>
      <c r="DM4" s="115">
        <v>117</v>
      </c>
      <c r="DN4" s="115">
        <v>118</v>
      </c>
      <c r="DO4" s="115">
        <v>119</v>
      </c>
      <c r="DP4" s="115">
        <v>120</v>
      </c>
      <c r="DQ4" s="115">
        <v>121</v>
      </c>
      <c r="DR4" s="115">
        <v>122</v>
      </c>
      <c r="DS4" s="115">
        <v>123</v>
      </c>
      <c r="DT4" s="115">
        <v>124</v>
      </c>
      <c r="DU4" s="115">
        <v>125</v>
      </c>
      <c r="DV4" s="115">
        <v>126</v>
      </c>
      <c r="DW4" s="115">
        <v>127</v>
      </c>
      <c r="DX4" s="115">
        <v>128</v>
      </c>
      <c r="DY4" s="115">
        <v>129</v>
      </c>
      <c r="DZ4" s="115">
        <v>130</v>
      </c>
      <c r="EA4" s="115">
        <v>131</v>
      </c>
      <c r="EB4" s="115">
        <v>132</v>
      </c>
      <c r="EC4" s="115">
        <v>133</v>
      </c>
      <c r="ED4" s="115">
        <v>134</v>
      </c>
      <c r="EE4" s="115">
        <v>135</v>
      </c>
      <c r="EF4" s="115">
        <v>136</v>
      </c>
      <c r="EG4" s="115">
        <v>137</v>
      </c>
      <c r="EH4" s="115">
        <v>138</v>
      </c>
      <c r="EI4" s="115">
        <v>139</v>
      </c>
      <c r="EJ4" s="115">
        <v>140</v>
      </c>
      <c r="EK4" s="115">
        <v>141</v>
      </c>
      <c r="EL4" s="115">
        <v>142</v>
      </c>
      <c r="EM4" s="115">
        <v>143</v>
      </c>
      <c r="EN4" s="115">
        <v>144</v>
      </c>
      <c r="EO4" s="115">
        <v>145</v>
      </c>
      <c r="EP4" s="115">
        <v>146</v>
      </c>
      <c r="EQ4" s="115">
        <v>147</v>
      </c>
      <c r="ER4" s="115">
        <v>148</v>
      </c>
      <c r="ES4" s="115">
        <v>149</v>
      </c>
      <c r="ET4" s="115">
        <v>150</v>
      </c>
      <c r="EU4" s="115">
        <v>151</v>
      </c>
      <c r="EV4" s="115">
        <v>152</v>
      </c>
    </row>
    <row r="5" spans="1:152" s="50" customFormat="1" ht="15.75" customHeight="1">
      <c r="A5" s="52" t="s">
        <v>244</v>
      </c>
      <c r="B5" s="52"/>
      <c r="C5" s="52"/>
      <c r="D5" s="1270" t="s">
        <v>25</v>
      </c>
      <c r="E5" s="1270"/>
      <c r="F5" s="1270"/>
      <c r="G5" s="1270"/>
      <c r="H5" s="52"/>
      <c r="I5" s="52"/>
      <c r="J5" s="52"/>
      <c r="K5" s="52"/>
      <c r="L5" s="52"/>
      <c r="M5" s="52"/>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row>
    <row r="6" spans="1:152" s="485" customFormat="1" ht="13.5" customHeight="1">
      <c r="A6" s="483" t="s">
        <v>43</v>
      </c>
      <c r="B6" s="484">
        <v>0</v>
      </c>
      <c r="C6" s="484">
        <v>0</v>
      </c>
      <c r="D6" s="484">
        <v>0</v>
      </c>
      <c r="E6" s="484">
        <v>0</v>
      </c>
      <c r="F6" s="1271">
        <v>3</v>
      </c>
      <c r="G6" s="484">
        <v>0</v>
      </c>
      <c r="H6" s="484">
        <v>0</v>
      </c>
      <c r="I6" s="484">
        <v>0</v>
      </c>
      <c r="J6" s="484">
        <v>0</v>
      </c>
      <c r="K6" s="1271">
        <v>0</v>
      </c>
      <c r="L6" s="484">
        <v>0</v>
      </c>
      <c r="M6" s="484">
        <v>0</v>
      </c>
      <c r="N6" s="484">
        <v>0</v>
      </c>
      <c r="O6" s="484">
        <v>0</v>
      </c>
      <c r="P6" s="1271">
        <v>0</v>
      </c>
      <c r="Q6" s="484">
        <v>0</v>
      </c>
      <c r="R6" s="484">
        <v>0</v>
      </c>
      <c r="S6" s="484">
        <v>0</v>
      </c>
      <c r="T6" s="484">
        <v>0</v>
      </c>
      <c r="U6" s="1271">
        <v>0</v>
      </c>
      <c r="V6" s="484">
        <v>0</v>
      </c>
      <c r="W6" s="484">
        <v>0</v>
      </c>
      <c r="X6" s="484">
        <v>0</v>
      </c>
      <c r="Y6" s="484">
        <v>0</v>
      </c>
      <c r="Z6" s="1271">
        <v>0</v>
      </c>
      <c r="AA6" s="484">
        <v>0</v>
      </c>
      <c r="AB6" s="484">
        <v>0</v>
      </c>
      <c r="AC6" s="484">
        <v>0</v>
      </c>
      <c r="AD6" s="484">
        <v>0</v>
      </c>
      <c r="AE6" s="1271">
        <v>0</v>
      </c>
      <c r="AF6" s="484">
        <v>0</v>
      </c>
      <c r="AG6" s="484">
        <v>0</v>
      </c>
      <c r="AH6" s="484">
        <v>0</v>
      </c>
      <c r="AI6" s="484">
        <v>0</v>
      </c>
      <c r="AJ6" s="1271">
        <v>0</v>
      </c>
      <c r="AK6" s="484">
        <v>0</v>
      </c>
      <c r="AL6" s="484">
        <v>0</v>
      </c>
      <c r="AM6" s="484">
        <v>0</v>
      </c>
      <c r="AN6" s="484">
        <v>0</v>
      </c>
      <c r="AO6" s="1271">
        <v>0</v>
      </c>
      <c r="AP6" s="484">
        <v>0</v>
      </c>
      <c r="AQ6" s="484">
        <v>0</v>
      </c>
      <c r="AR6" s="484">
        <v>0</v>
      </c>
      <c r="AS6" s="484">
        <v>0</v>
      </c>
      <c r="AT6" s="1271">
        <v>0</v>
      </c>
      <c r="AU6" s="484">
        <v>0</v>
      </c>
      <c r="AV6" s="484">
        <v>0</v>
      </c>
      <c r="AW6" s="484">
        <v>0</v>
      </c>
      <c r="AX6" s="484">
        <v>0</v>
      </c>
      <c r="AY6" s="1271">
        <v>0</v>
      </c>
      <c r="AZ6" s="484">
        <v>0</v>
      </c>
      <c r="BA6" s="484">
        <v>0</v>
      </c>
      <c r="BB6" s="484">
        <v>0</v>
      </c>
      <c r="BC6" s="484">
        <v>0</v>
      </c>
      <c r="BD6" s="1271">
        <v>0</v>
      </c>
      <c r="BE6" s="484">
        <v>0</v>
      </c>
      <c r="BF6" s="484">
        <v>0</v>
      </c>
      <c r="BG6" s="484">
        <v>0</v>
      </c>
      <c r="BH6" s="484">
        <v>0</v>
      </c>
      <c r="BI6" s="1271">
        <v>0</v>
      </c>
      <c r="BJ6" s="484">
        <v>0</v>
      </c>
      <c r="BK6" s="484">
        <v>0</v>
      </c>
      <c r="BL6" s="484">
        <v>0</v>
      </c>
      <c r="BM6" s="484">
        <v>0</v>
      </c>
      <c r="BN6" s="489">
        <v>0</v>
      </c>
      <c r="BO6" s="484">
        <v>0</v>
      </c>
      <c r="BP6" s="484">
        <v>0</v>
      </c>
      <c r="BQ6" s="484">
        <v>0</v>
      </c>
      <c r="BR6" s="484">
        <v>0</v>
      </c>
      <c r="BS6" s="489">
        <v>0</v>
      </c>
      <c r="BT6" s="484">
        <v>0</v>
      </c>
      <c r="BU6" s="484">
        <v>0</v>
      </c>
      <c r="BV6" s="484">
        <v>0</v>
      </c>
      <c r="BW6" s="484">
        <v>0</v>
      </c>
      <c r="BX6" s="489">
        <v>0</v>
      </c>
      <c r="BY6" s="484">
        <v>0</v>
      </c>
      <c r="BZ6" s="484">
        <v>0</v>
      </c>
      <c r="CA6" s="484">
        <v>0</v>
      </c>
      <c r="CB6" s="484">
        <v>0</v>
      </c>
      <c r="CC6" s="489">
        <v>0</v>
      </c>
      <c r="CD6" s="484">
        <v>0</v>
      </c>
      <c r="CE6" s="484">
        <v>0</v>
      </c>
      <c r="CF6" s="484">
        <v>0</v>
      </c>
      <c r="CG6" s="484">
        <v>0</v>
      </c>
      <c r="CH6" s="489">
        <v>0</v>
      </c>
      <c r="CI6" s="484">
        <v>0</v>
      </c>
      <c r="CJ6" s="484">
        <v>0</v>
      </c>
      <c r="CK6" s="484">
        <v>0</v>
      </c>
      <c r="CL6" s="484">
        <v>0</v>
      </c>
      <c r="CM6" s="484">
        <v>0</v>
      </c>
      <c r="CN6" s="484">
        <v>0</v>
      </c>
      <c r="CO6" s="484">
        <v>0</v>
      </c>
      <c r="CP6" s="484">
        <v>0</v>
      </c>
      <c r="CQ6" s="484">
        <v>0</v>
      </c>
      <c r="CR6" s="484">
        <v>0</v>
      </c>
      <c r="CS6" s="484">
        <v>0</v>
      </c>
      <c r="CT6" s="484">
        <v>0</v>
      </c>
      <c r="CU6" s="484">
        <v>0</v>
      </c>
      <c r="CV6" s="484">
        <v>0</v>
      </c>
      <c r="CW6" s="484">
        <v>0</v>
      </c>
      <c r="CX6" s="484">
        <v>0</v>
      </c>
      <c r="CY6" s="484">
        <v>0</v>
      </c>
      <c r="CZ6" s="484">
        <v>0</v>
      </c>
      <c r="DA6" s="484">
        <v>0</v>
      </c>
      <c r="DB6" s="484">
        <v>0</v>
      </c>
      <c r="DC6" s="484">
        <v>0</v>
      </c>
      <c r="DD6" s="484">
        <v>0</v>
      </c>
      <c r="DE6" s="484">
        <v>0</v>
      </c>
      <c r="DF6" s="484">
        <v>0</v>
      </c>
      <c r="DG6" s="484">
        <v>0</v>
      </c>
      <c r="DH6" s="484">
        <v>0</v>
      </c>
      <c r="DI6" s="484">
        <v>0</v>
      </c>
      <c r="DJ6" s="484">
        <v>0</v>
      </c>
      <c r="DK6" s="484">
        <v>0</v>
      </c>
      <c r="DL6" s="484">
        <v>0</v>
      </c>
      <c r="DM6" s="484">
        <v>0</v>
      </c>
      <c r="DN6" s="484">
        <v>0</v>
      </c>
      <c r="DO6" s="484">
        <v>0</v>
      </c>
      <c r="DP6" s="484">
        <v>0</v>
      </c>
      <c r="DQ6" s="484">
        <v>0</v>
      </c>
      <c r="DR6" s="484">
        <v>0</v>
      </c>
      <c r="DS6" s="484">
        <v>0</v>
      </c>
      <c r="DT6" s="484">
        <v>0</v>
      </c>
      <c r="DU6" s="484">
        <v>0</v>
      </c>
      <c r="DV6" s="484">
        <v>0</v>
      </c>
      <c r="DW6" s="484">
        <v>0</v>
      </c>
      <c r="DX6" s="484">
        <v>0</v>
      </c>
      <c r="DY6" s="484">
        <v>0</v>
      </c>
      <c r="DZ6" s="484">
        <v>0</v>
      </c>
      <c r="EA6" s="484">
        <v>0</v>
      </c>
      <c r="EB6" s="484">
        <v>0</v>
      </c>
      <c r="EC6" s="484">
        <v>0</v>
      </c>
      <c r="ED6" s="484">
        <v>0</v>
      </c>
      <c r="EE6" s="484">
        <v>0</v>
      </c>
      <c r="EF6" s="484">
        <v>0</v>
      </c>
      <c r="EG6" s="484">
        <v>0</v>
      </c>
      <c r="EH6" s="484">
        <v>0</v>
      </c>
      <c r="EI6" s="484">
        <v>0</v>
      </c>
      <c r="EJ6" s="484">
        <v>0</v>
      </c>
      <c r="EK6" s="484">
        <v>0</v>
      </c>
      <c r="EL6" s="484">
        <v>0</v>
      </c>
      <c r="EM6" s="484">
        <v>0</v>
      </c>
      <c r="EN6" s="484">
        <v>0</v>
      </c>
      <c r="EO6" s="484">
        <v>0</v>
      </c>
      <c r="EP6" s="484">
        <v>0</v>
      </c>
      <c r="EQ6" s="484">
        <v>0</v>
      </c>
      <c r="ER6" s="484">
        <v>0</v>
      </c>
      <c r="ES6" s="484">
        <v>0</v>
      </c>
      <c r="ET6" s="484">
        <v>0</v>
      </c>
      <c r="EU6" s="484">
        <v>0</v>
      </c>
      <c r="EV6" s="484">
        <v>0</v>
      </c>
    </row>
    <row r="7" spans="1:152" s="485" customFormat="1" ht="13.5" customHeight="1">
      <c r="A7" s="6" t="s">
        <v>7</v>
      </c>
      <c r="B7" s="488">
        <v>11.5</v>
      </c>
      <c r="C7" s="488">
        <v>11.5</v>
      </c>
      <c r="D7" s="488">
        <v>11.5</v>
      </c>
      <c r="E7" s="488">
        <v>11.5</v>
      </c>
      <c r="F7" s="488">
        <v>11.5</v>
      </c>
      <c r="G7" s="488">
        <v>11.5</v>
      </c>
      <c r="H7" s="488">
        <v>11.5</v>
      </c>
      <c r="I7" s="488">
        <v>11.5</v>
      </c>
      <c r="J7" s="488">
        <v>11.5</v>
      </c>
      <c r="K7" s="488">
        <v>11.5</v>
      </c>
      <c r="L7" s="488">
        <v>11.5</v>
      </c>
      <c r="M7" s="488">
        <v>11.5</v>
      </c>
      <c r="N7" s="488">
        <v>11.5</v>
      </c>
      <c r="O7" s="488">
        <v>11.5</v>
      </c>
      <c r="P7" s="488">
        <v>11.5</v>
      </c>
      <c r="Q7" s="488">
        <v>11.5</v>
      </c>
      <c r="R7" s="488">
        <v>11.5</v>
      </c>
      <c r="S7" s="488">
        <v>11.5</v>
      </c>
      <c r="T7" s="488">
        <v>11.5</v>
      </c>
      <c r="U7" s="488">
        <v>11.5</v>
      </c>
      <c r="V7" s="489">
        <v>11.5</v>
      </c>
      <c r="W7" s="488">
        <v>11.32</v>
      </c>
      <c r="X7" s="488">
        <v>11.14</v>
      </c>
      <c r="Y7" s="488">
        <v>10.96</v>
      </c>
      <c r="Z7" s="488">
        <v>10.78</v>
      </c>
      <c r="AA7" s="488">
        <v>10.6</v>
      </c>
      <c r="AB7" s="488">
        <v>10.42</v>
      </c>
      <c r="AC7" s="488">
        <v>10.24</v>
      </c>
      <c r="AD7" s="488">
        <v>10.06</v>
      </c>
      <c r="AE7" s="488">
        <v>9.88</v>
      </c>
      <c r="AF7" s="489">
        <v>9.7</v>
      </c>
      <c r="AG7" s="488">
        <v>9.55</v>
      </c>
      <c r="AH7" s="488">
        <v>9.4</v>
      </c>
      <c r="AI7" s="488">
        <v>9.25</v>
      </c>
      <c r="AJ7" s="488">
        <v>9.1</v>
      </c>
      <c r="AK7" s="488">
        <v>8.95</v>
      </c>
      <c r="AL7" s="488">
        <v>8.8</v>
      </c>
      <c r="AM7" s="488">
        <v>8.65</v>
      </c>
      <c r="AN7" s="488">
        <v>8.5</v>
      </c>
      <c r="AO7" s="488">
        <v>8.35</v>
      </c>
      <c r="AP7" s="489">
        <v>8.2</v>
      </c>
      <c r="AQ7" s="488">
        <v>8.08</v>
      </c>
      <c r="AR7" s="488">
        <v>7.96</v>
      </c>
      <c r="AS7" s="488">
        <v>7.84</v>
      </c>
      <c r="AT7" s="488">
        <v>7.72</v>
      </c>
      <c r="AU7" s="488">
        <v>7.6</v>
      </c>
      <c r="AV7" s="488">
        <v>7.48</v>
      </c>
      <c r="AW7" s="488">
        <v>7.36</v>
      </c>
      <c r="AX7" s="488">
        <v>7.24</v>
      </c>
      <c r="AY7" s="488">
        <v>7.12</v>
      </c>
      <c r="AZ7" s="489">
        <v>7</v>
      </c>
      <c r="BA7" s="488">
        <v>6.92</v>
      </c>
      <c r="BB7" s="488">
        <v>6.84</v>
      </c>
      <c r="BC7" s="488">
        <v>6.76</v>
      </c>
      <c r="BD7" s="1274">
        <v>6.68</v>
      </c>
      <c r="BE7" s="1274">
        <v>6.6</v>
      </c>
      <c r="BF7" s="1274">
        <v>6.52</v>
      </c>
      <c r="BG7" s="1274">
        <v>6.44</v>
      </c>
      <c r="BH7" s="1274">
        <v>6.36</v>
      </c>
      <c r="BI7" s="1274">
        <v>6.28</v>
      </c>
      <c r="BJ7" s="1271">
        <v>6.2</v>
      </c>
      <c r="BK7" s="1274">
        <v>6.06</v>
      </c>
      <c r="BL7" s="1274">
        <v>5.92</v>
      </c>
      <c r="BM7" s="1274">
        <v>5.78</v>
      </c>
      <c r="BN7" s="1274">
        <v>5.64</v>
      </c>
      <c r="BO7" s="1274">
        <v>5.5</v>
      </c>
      <c r="BP7" s="1274">
        <v>5.36</v>
      </c>
      <c r="BQ7" s="1274">
        <v>5.22</v>
      </c>
      <c r="BR7" s="1274">
        <v>5.08</v>
      </c>
      <c r="BS7" s="1274">
        <v>4.94</v>
      </c>
      <c r="BT7" s="1271">
        <v>4.8</v>
      </c>
      <c r="BU7" s="1274">
        <v>4.66</v>
      </c>
      <c r="BV7" s="1274">
        <v>4.52</v>
      </c>
      <c r="BW7" s="1274">
        <v>4.38</v>
      </c>
      <c r="BX7" s="1274">
        <v>4.24</v>
      </c>
      <c r="BY7" s="1274">
        <v>4.1</v>
      </c>
      <c r="BZ7" s="1274">
        <v>3.96</v>
      </c>
      <c r="CA7" s="1274">
        <v>3.82</v>
      </c>
      <c r="CB7" s="1274">
        <v>3.68</v>
      </c>
      <c r="CC7" s="1274">
        <v>3.54</v>
      </c>
      <c r="CD7" s="1271">
        <v>3.4</v>
      </c>
      <c r="CE7" s="1274">
        <v>3.28</v>
      </c>
      <c r="CF7" s="1274">
        <v>3.16</v>
      </c>
      <c r="CG7" s="1274">
        <v>3.04</v>
      </c>
      <c r="CH7" s="1274">
        <v>2.92</v>
      </c>
      <c r="CI7" s="1274">
        <v>2.8</v>
      </c>
      <c r="CJ7" s="1274">
        <v>2.68</v>
      </c>
      <c r="CK7" s="1274">
        <v>2.56</v>
      </c>
      <c r="CL7" s="1274">
        <v>2.44</v>
      </c>
      <c r="CM7" s="1274">
        <v>2.32</v>
      </c>
      <c r="CN7" s="1271">
        <v>2.2</v>
      </c>
      <c r="CO7" s="1274">
        <v>0</v>
      </c>
      <c r="CP7" s="1274">
        <v>0</v>
      </c>
      <c r="CQ7" s="1274">
        <v>0</v>
      </c>
      <c r="CR7" s="1274">
        <v>0</v>
      </c>
      <c r="CS7" s="1274">
        <v>0</v>
      </c>
      <c r="CT7" s="1274">
        <v>0</v>
      </c>
      <c r="CU7" s="1274">
        <v>0</v>
      </c>
      <c r="CV7" s="1274">
        <v>0</v>
      </c>
      <c r="CW7" s="1274">
        <v>0</v>
      </c>
      <c r="CX7" s="1271">
        <v>0</v>
      </c>
      <c r="CY7" s="1274">
        <v>0</v>
      </c>
      <c r="CZ7" s="1274">
        <v>0</v>
      </c>
      <c r="DA7" s="1274">
        <v>0</v>
      </c>
      <c r="DB7" s="1274">
        <v>0</v>
      </c>
      <c r="DC7" s="1274">
        <v>0</v>
      </c>
      <c r="DD7" s="1274">
        <v>0</v>
      </c>
      <c r="DE7" s="1274">
        <v>0</v>
      </c>
      <c r="DF7" s="1274">
        <v>0</v>
      </c>
      <c r="DG7" s="1274">
        <v>0</v>
      </c>
      <c r="DH7" s="1271">
        <v>0</v>
      </c>
      <c r="DI7" s="1274">
        <v>0</v>
      </c>
      <c r="DJ7" s="1274">
        <v>0</v>
      </c>
      <c r="DK7" s="1274">
        <v>0</v>
      </c>
      <c r="DL7" s="1274">
        <v>0</v>
      </c>
      <c r="DM7" s="1274">
        <v>0</v>
      </c>
      <c r="DN7" s="1274">
        <v>0</v>
      </c>
      <c r="DO7" s="1274">
        <v>0</v>
      </c>
      <c r="DP7" s="1274">
        <v>0</v>
      </c>
      <c r="DQ7" s="1274">
        <v>0</v>
      </c>
      <c r="DR7" s="1271">
        <v>0</v>
      </c>
      <c r="DS7" s="1274">
        <v>0</v>
      </c>
      <c r="DT7" s="1274">
        <v>0</v>
      </c>
      <c r="DU7" s="1274">
        <v>0</v>
      </c>
      <c r="DV7" s="1274">
        <v>0</v>
      </c>
      <c r="DW7" s="1274">
        <v>0</v>
      </c>
      <c r="DX7" s="1274">
        <v>0</v>
      </c>
      <c r="DY7" s="1274">
        <v>0</v>
      </c>
      <c r="DZ7" s="1274">
        <v>0</v>
      </c>
      <c r="EA7" s="1274">
        <v>0</v>
      </c>
      <c r="EB7" s="1271">
        <v>0</v>
      </c>
      <c r="EC7" s="1274">
        <v>0</v>
      </c>
      <c r="ED7" s="1274">
        <v>0</v>
      </c>
      <c r="EE7" s="1274">
        <v>0</v>
      </c>
      <c r="EF7" s="1274">
        <v>0</v>
      </c>
      <c r="EG7" s="1274">
        <v>0</v>
      </c>
      <c r="EH7" s="1274">
        <v>0</v>
      </c>
      <c r="EI7" s="1274">
        <v>0</v>
      </c>
      <c r="EJ7" s="1274">
        <v>0</v>
      </c>
      <c r="EK7" s="1274">
        <v>0</v>
      </c>
      <c r="EL7" s="1271">
        <v>0</v>
      </c>
      <c r="EM7" s="1274">
        <v>0</v>
      </c>
      <c r="EN7" s="1274">
        <v>0</v>
      </c>
      <c r="EO7" s="1274">
        <v>0</v>
      </c>
      <c r="EP7" s="1274">
        <v>0</v>
      </c>
      <c r="EQ7" s="1274">
        <v>0</v>
      </c>
      <c r="ER7" s="1274">
        <v>0</v>
      </c>
      <c r="ES7" s="1274">
        <v>0</v>
      </c>
      <c r="ET7" s="1274">
        <v>0</v>
      </c>
      <c r="EU7" s="1274">
        <v>0</v>
      </c>
      <c r="EV7" s="1271">
        <v>0</v>
      </c>
    </row>
    <row r="8" s="488" customFormat="1" ht="13.5" customHeight="1"/>
    <row r="9" spans="1:152" s="488" customFormat="1" ht="13.5" customHeight="1">
      <c r="A9" s="53"/>
      <c r="V9" s="489"/>
      <c r="AF9" s="489"/>
      <c r="AP9" s="489"/>
      <c r="AZ9" s="489"/>
      <c r="BJ9" s="489"/>
      <c r="BT9" s="489"/>
      <c r="CD9" s="489"/>
      <c r="CN9" s="489"/>
      <c r="CX9" s="489"/>
      <c r="DH9" s="489"/>
      <c r="DR9" s="489"/>
      <c r="EB9" s="489"/>
      <c r="EL9" s="489"/>
      <c r="EV9" s="489"/>
    </row>
    <row r="10" spans="1:152" s="488" customFormat="1" ht="13.5" customHeight="1">
      <c r="A10" s="53"/>
      <c r="V10" s="489"/>
      <c r="AF10" s="489"/>
      <c r="AP10" s="489"/>
      <c r="AZ10" s="489"/>
      <c r="BJ10" s="489"/>
      <c r="BT10" s="489"/>
      <c r="CD10" s="489"/>
      <c r="CN10" s="489"/>
      <c r="CX10" s="489"/>
      <c r="DH10" s="489"/>
      <c r="DR10" s="489"/>
      <c r="EB10" s="489"/>
      <c r="EL10" s="489"/>
      <c r="EV10" s="489"/>
    </row>
    <row r="11" spans="1:152" s="488" customFormat="1" ht="13.5" customHeight="1">
      <c r="A11" s="53"/>
      <c r="V11" s="489"/>
      <c r="AF11" s="489"/>
      <c r="AP11" s="489"/>
      <c r="AZ11" s="489"/>
      <c r="BJ11" s="489"/>
      <c r="BT11" s="489"/>
      <c r="CD11" s="489"/>
      <c r="CN11" s="489"/>
      <c r="CX11" s="489"/>
      <c r="DH11" s="489"/>
      <c r="DR11" s="489"/>
      <c r="EB11" s="489"/>
      <c r="EL11" s="489"/>
      <c r="EV11" s="489"/>
    </row>
    <row r="12" spans="1:152" s="488" customFormat="1" ht="13.5" customHeight="1">
      <c r="A12" s="53"/>
      <c r="V12" s="489"/>
      <c r="AF12" s="489"/>
      <c r="AP12" s="489"/>
      <c r="AZ12" s="489"/>
      <c r="BJ12" s="489"/>
      <c r="BT12" s="489"/>
      <c r="CD12" s="489"/>
      <c r="CN12" s="489"/>
      <c r="CX12" s="489"/>
      <c r="DH12" s="489"/>
      <c r="DR12" s="489"/>
      <c r="EB12" s="489"/>
      <c r="EL12" s="489"/>
      <c r="EV12" s="489"/>
    </row>
    <row r="13" spans="1:152" s="488" customFormat="1" ht="13.5" customHeight="1">
      <c r="A13" s="53"/>
      <c r="V13" s="489"/>
      <c r="AF13" s="489"/>
      <c r="AP13" s="489"/>
      <c r="AZ13" s="489"/>
      <c r="BJ13" s="489"/>
      <c r="BT13" s="489"/>
      <c r="CD13" s="489"/>
      <c r="CN13" s="489"/>
      <c r="CX13" s="489"/>
      <c r="DH13" s="489"/>
      <c r="DR13" s="489"/>
      <c r="EB13" s="489"/>
      <c r="EL13" s="489"/>
      <c r="EV13" s="489"/>
    </row>
    <row r="14" spans="1:152" s="488" customFormat="1" ht="13.5" customHeight="1">
      <c r="A14" s="53"/>
      <c r="V14" s="489"/>
      <c r="AF14" s="489"/>
      <c r="AP14" s="489"/>
      <c r="AZ14" s="489"/>
      <c r="BJ14" s="489"/>
      <c r="BT14" s="489"/>
      <c r="CD14" s="489"/>
      <c r="CN14" s="489"/>
      <c r="CX14" s="489"/>
      <c r="DH14" s="489"/>
      <c r="DR14" s="489"/>
      <c r="EB14" s="489"/>
      <c r="EL14" s="489"/>
      <c r="EV14" s="489"/>
    </row>
    <row r="15" spans="1:152" s="488" customFormat="1" ht="13.5" customHeight="1">
      <c r="A15" s="53"/>
      <c r="V15" s="489"/>
      <c r="AF15" s="489"/>
      <c r="AP15" s="489"/>
      <c r="AZ15" s="489"/>
      <c r="BJ15" s="489"/>
      <c r="BT15" s="489"/>
      <c r="CD15" s="489"/>
      <c r="CN15" s="489"/>
      <c r="CX15" s="489"/>
      <c r="DH15" s="489"/>
      <c r="DR15" s="489"/>
      <c r="EB15" s="489"/>
      <c r="EL15" s="489"/>
      <c r="EV15" s="489"/>
    </row>
    <row r="16" spans="1:152" s="488" customFormat="1" ht="13.5" customHeight="1">
      <c r="A16" s="53"/>
      <c r="B16" s="489"/>
      <c r="C16" s="489"/>
      <c r="D16" s="489"/>
      <c r="E16" s="489"/>
      <c r="F16" s="489"/>
      <c r="G16" s="489"/>
      <c r="H16" s="489"/>
      <c r="I16" s="489"/>
      <c r="J16" s="489"/>
      <c r="K16" s="489"/>
      <c r="L16" s="489"/>
      <c r="M16" s="489"/>
      <c r="N16" s="489"/>
      <c r="O16" s="489"/>
      <c r="P16" s="489"/>
      <c r="Q16" s="489"/>
      <c r="R16" s="489"/>
      <c r="S16" s="489"/>
      <c r="T16" s="489"/>
      <c r="U16" s="489"/>
      <c r="V16" s="489"/>
      <c r="AF16" s="489"/>
      <c r="AP16" s="489"/>
      <c r="AZ16" s="489"/>
      <c r="BJ16" s="489"/>
      <c r="BT16" s="489"/>
      <c r="CD16" s="489"/>
      <c r="CN16" s="489"/>
      <c r="CX16" s="489"/>
      <c r="DH16" s="489"/>
      <c r="DR16" s="489"/>
      <c r="EB16" s="489"/>
      <c r="EL16" s="489"/>
      <c r="EV16" s="489"/>
    </row>
    <row r="17" spans="1:152" s="488" customFormat="1" ht="13.5" customHeight="1">
      <c r="A17" s="53"/>
      <c r="B17" s="489"/>
      <c r="C17" s="489"/>
      <c r="D17" s="489"/>
      <c r="E17" s="489"/>
      <c r="F17" s="489"/>
      <c r="G17" s="489"/>
      <c r="H17" s="489"/>
      <c r="I17" s="489"/>
      <c r="J17" s="489"/>
      <c r="K17" s="489"/>
      <c r="L17" s="489"/>
      <c r="M17" s="489"/>
      <c r="N17" s="489"/>
      <c r="O17" s="489"/>
      <c r="P17" s="489"/>
      <c r="Q17" s="489"/>
      <c r="R17" s="489"/>
      <c r="S17" s="489"/>
      <c r="T17" s="489"/>
      <c r="U17" s="489"/>
      <c r="V17" s="489"/>
      <c r="AF17" s="489"/>
      <c r="AP17" s="489"/>
      <c r="AZ17" s="489"/>
      <c r="BJ17" s="489"/>
      <c r="BT17" s="489"/>
      <c r="CD17" s="489"/>
      <c r="CN17" s="489"/>
      <c r="CX17" s="489"/>
      <c r="DH17" s="489"/>
      <c r="DR17" s="489"/>
      <c r="EB17" s="489"/>
      <c r="EL17" s="489"/>
      <c r="EV17" s="489"/>
    </row>
    <row r="18" spans="1:152" s="488" customFormat="1" ht="13.5" customHeight="1">
      <c r="A18" s="53"/>
      <c r="B18" s="489"/>
      <c r="C18" s="489"/>
      <c r="D18" s="489"/>
      <c r="E18" s="489"/>
      <c r="F18" s="489"/>
      <c r="G18" s="489"/>
      <c r="H18" s="489"/>
      <c r="I18" s="489"/>
      <c r="J18" s="489"/>
      <c r="K18" s="489"/>
      <c r="L18" s="489"/>
      <c r="M18" s="489"/>
      <c r="N18" s="489"/>
      <c r="O18" s="489"/>
      <c r="P18" s="489"/>
      <c r="Q18" s="489"/>
      <c r="R18" s="489"/>
      <c r="S18" s="489"/>
      <c r="T18" s="489"/>
      <c r="U18" s="489"/>
      <c r="V18" s="489"/>
      <c r="AF18" s="489"/>
      <c r="AP18" s="489"/>
      <c r="AZ18" s="489"/>
      <c r="BJ18" s="489"/>
      <c r="BT18" s="489"/>
      <c r="CD18" s="489"/>
      <c r="CN18" s="489"/>
      <c r="CX18" s="489"/>
      <c r="DH18" s="489"/>
      <c r="DR18" s="489"/>
      <c r="EB18" s="489"/>
      <c r="EL18" s="489"/>
      <c r="EV18" s="489"/>
    </row>
    <row r="19" spans="1:152" s="488" customFormat="1" ht="13.5" customHeight="1">
      <c r="A19" s="53"/>
      <c r="B19" s="489"/>
      <c r="C19" s="489"/>
      <c r="D19" s="489"/>
      <c r="E19" s="489"/>
      <c r="F19" s="489"/>
      <c r="G19" s="489"/>
      <c r="H19" s="489"/>
      <c r="I19" s="489"/>
      <c r="J19" s="489"/>
      <c r="K19" s="489"/>
      <c r="L19" s="489"/>
      <c r="M19" s="489"/>
      <c r="N19" s="489"/>
      <c r="O19" s="489"/>
      <c r="P19" s="489"/>
      <c r="Q19" s="489"/>
      <c r="R19" s="489"/>
      <c r="S19" s="489"/>
      <c r="T19" s="489"/>
      <c r="U19" s="489"/>
      <c r="V19" s="489"/>
      <c r="AF19" s="489"/>
      <c r="AP19" s="489"/>
      <c r="AZ19" s="489"/>
      <c r="BJ19" s="489"/>
      <c r="BT19" s="489"/>
      <c r="CD19" s="489"/>
      <c r="CN19" s="489"/>
      <c r="CX19" s="489"/>
      <c r="DH19" s="489"/>
      <c r="DR19" s="489"/>
      <c r="EB19" s="489"/>
      <c r="EL19" s="489"/>
      <c r="EV19" s="489"/>
    </row>
    <row r="20" spans="1:152" s="492" customFormat="1" ht="13.5" customHeight="1">
      <c r="A20" s="69" t="s">
        <v>52</v>
      </c>
      <c r="D20" s="1263" t="s">
        <v>12</v>
      </c>
      <c r="E20" s="1263"/>
      <c r="F20" s="1263"/>
      <c r="G20" s="1263"/>
      <c r="AF20" s="493"/>
      <c r="AP20" s="493"/>
      <c r="AZ20" s="493"/>
      <c r="BA20" s="494"/>
      <c r="BB20" s="494"/>
      <c r="BC20" s="494"/>
      <c r="BD20" s="494"/>
      <c r="BE20" s="494"/>
      <c r="BF20" s="494"/>
      <c r="BG20" s="494"/>
      <c r="BH20" s="494"/>
      <c r="BI20" s="494"/>
      <c r="BJ20" s="493"/>
      <c r="BK20" s="494"/>
      <c r="BL20" s="494"/>
      <c r="BM20" s="494"/>
      <c r="BN20" s="494"/>
      <c r="BO20" s="494"/>
      <c r="BP20" s="494"/>
      <c r="BQ20" s="494"/>
      <c r="BR20" s="494"/>
      <c r="BS20" s="494"/>
      <c r="BT20" s="493"/>
      <c r="BU20" s="494"/>
      <c r="BV20" s="494"/>
      <c r="BW20" s="494"/>
      <c r="BX20" s="494"/>
      <c r="BY20" s="494"/>
      <c r="BZ20" s="494"/>
      <c r="CA20" s="494"/>
      <c r="CB20" s="494"/>
      <c r="CC20" s="494"/>
      <c r="CD20" s="493"/>
      <c r="CE20" s="494"/>
      <c r="CF20" s="494"/>
      <c r="CG20" s="494"/>
      <c r="CH20" s="494"/>
      <c r="CI20" s="494"/>
      <c r="CJ20" s="494"/>
      <c r="CK20" s="494"/>
      <c r="CL20" s="494"/>
      <c r="CM20" s="494"/>
      <c r="CN20" s="493"/>
      <c r="CO20" s="494"/>
      <c r="CP20" s="494"/>
      <c r="CQ20" s="494"/>
      <c r="CR20" s="494"/>
      <c r="CS20" s="494"/>
      <c r="CT20" s="494"/>
      <c r="CU20" s="494"/>
      <c r="CV20" s="494"/>
      <c r="CW20" s="494"/>
      <c r="CX20" s="493"/>
      <c r="CY20" s="494"/>
      <c r="CZ20" s="494"/>
      <c r="DA20" s="494"/>
      <c r="DB20" s="494"/>
      <c r="DC20" s="494"/>
      <c r="DD20" s="494"/>
      <c r="DE20" s="494"/>
      <c r="DF20" s="494"/>
      <c r="DG20" s="494"/>
      <c r="DH20" s="493"/>
      <c r="DI20" s="494"/>
      <c r="DJ20" s="494"/>
      <c r="DK20" s="494"/>
      <c r="DL20" s="494"/>
      <c r="DM20" s="494"/>
      <c r="DN20" s="494"/>
      <c r="DO20" s="494"/>
      <c r="DP20" s="494"/>
      <c r="DQ20" s="494"/>
      <c r="DR20" s="493"/>
      <c r="DS20" s="494"/>
      <c r="DT20" s="494"/>
      <c r="DU20" s="494"/>
      <c r="DV20" s="494"/>
      <c r="DW20" s="494"/>
      <c r="DX20" s="494"/>
      <c r="DY20" s="494"/>
      <c r="DZ20" s="494"/>
      <c r="EA20" s="494"/>
      <c r="EB20" s="495"/>
      <c r="EC20" s="494"/>
      <c r="ED20" s="494"/>
      <c r="EE20" s="494"/>
      <c r="EF20" s="494"/>
      <c r="EG20" s="494"/>
      <c r="EH20" s="494"/>
      <c r="EI20" s="494"/>
      <c r="EJ20" s="494"/>
      <c r="EK20" s="494"/>
      <c r="EL20" s="495"/>
      <c r="EM20" s="494"/>
      <c r="EN20" s="494"/>
      <c r="EO20" s="494"/>
      <c r="EP20" s="494"/>
      <c r="EQ20" s="494"/>
      <c r="ER20" s="494"/>
      <c r="ES20" s="494"/>
      <c r="ET20" s="494"/>
      <c r="EU20" s="494"/>
      <c r="EV20" s="495"/>
    </row>
    <row r="21" spans="1:152" s="485" customFormat="1" ht="13.5" customHeight="1">
      <c r="A21" s="483" t="s">
        <v>43</v>
      </c>
      <c r="B21" s="484">
        <v>0</v>
      </c>
      <c r="C21" s="484">
        <v>0</v>
      </c>
      <c r="D21" s="484">
        <v>0</v>
      </c>
      <c r="E21" s="484">
        <v>0</v>
      </c>
      <c r="F21" s="1271">
        <v>4</v>
      </c>
      <c r="G21" s="484">
        <v>0</v>
      </c>
      <c r="H21" s="484">
        <v>0</v>
      </c>
      <c r="I21" s="484">
        <v>0</v>
      </c>
      <c r="J21" s="484">
        <v>0</v>
      </c>
      <c r="K21" s="1271">
        <v>0</v>
      </c>
      <c r="L21" s="484">
        <v>0</v>
      </c>
      <c r="M21" s="484">
        <v>0</v>
      </c>
      <c r="N21" s="484">
        <v>0</v>
      </c>
      <c r="O21" s="484">
        <v>0</v>
      </c>
      <c r="P21" s="1271">
        <v>0</v>
      </c>
      <c r="Q21" s="484">
        <v>0</v>
      </c>
      <c r="R21" s="484">
        <v>0</v>
      </c>
      <c r="S21" s="484">
        <v>0</v>
      </c>
      <c r="T21" s="484">
        <v>0</v>
      </c>
      <c r="U21" s="1271">
        <v>0</v>
      </c>
      <c r="V21" s="484">
        <v>0</v>
      </c>
      <c r="W21" s="484">
        <v>0</v>
      </c>
      <c r="X21" s="484">
        <v>0</v>
      </c>
      <c r="Y21" s="484">
        <v>0</v>
      </c>
      <c r="Z21" s="1271">
        <v>0</v>
      </c>
      <c r="AA21" s="484">
        <v>0</v>
      </c>
      <c r="AB21" s="484">
        <v>0</v>
      </c>
      <c r="AC21" s="484">
        <v>0</v>
      </c>
      <c r="AD21" s="484">
        <v>0</v>
      </c>
      <c r="AE21" s="1271">
        <v>0</v>
      </c>
      <c r="AF21" s="484">
        <v>0</v>
      </c>
      <c r="AG21" s="484">
        <v>0</v>
      </c>
      <c r="AH21" s="484">
        <v>0</v>
      </c>
      <c r="AI21" s="484">
        <v>0</v>
      </c>
      <c r="AJ21" s="1271">
        <v>0</v>
      </c>
      <c r="AK21" s="484">
        <v>0</v>
      </c>
      <c r="AL21" s="484">
        <v>0</v>
      </c>
      <c r="AM21" s="484">
        <v>0</v>
      </c>
      <c r="AN21" s="484">
        <v>0</v>
      </c>
      <c r="AO21" s="1271">
        <v>0</v>
      </c>
      <c r="AP21" s="484">
        <v>0</v>
      </c>
      <c r="AQ21" s="484">
        <v>0</v>
      </c>
      <c r="AR21" s="484">
        <v>0</v>
      </c>
      <c r="AS21" s="484">
        <v>0</v>
      </c>
      <c r="AT21" s="1271">
        <v>0</v>
      </c>
      <c r="AU21" s="484">
        <v>0</v>
      </c>
      <c r="AV21" s="484">
        <v>0</v>
      </c>
      <c r="AW21" s="484">
        <v>0</v>
      </c>
      <c r="AX21" s="484">
        <v>0</v>
      </c>
      <c r="AY21" s="1271">
        <v>0</v>
      </c>
      <c r="AZ21" s="484">
        <v>0</v>
      </c>
      <c r="BA21" s="484">
        <v>0</v>
      </c>
      <c r="BB21" s="484">
        <v>0</v>
      </c>
      <c r="BC21" s="484">
        <v>0</v>
      </c>
      <c r="BD21" s="1271">
        <v>0</v>
      </c>
      <c r="BE21" s="484">
        <v>0</v>
      </c>
      <c r="BF21" s="484">
        <v>0</v>
      </c>
      <c r="BG21" s="484">
        <v>0</v>
      </c>
      <c r="BH21" s="484">
        <v>0</v>
      </c>
      <c r="BI21" s="1271">
        <v>0</v>
      </c>
      <c r="BJ21" s="484">
        <v>0</v>
      </c>
      <c r="BK21" s="484">
        <v>0</v>
      </c>
      <c r="BL21" s="484">
        <v>0</v>
      </c>
      <c r="BM21" s="484">
        <v>0</v>
      </c>
      <c r="BN21" s="484">
        <v>0</v>
      </c>
      <c r="BO21" s="484">
        <v>0</v>
      </c>
      <c r="BP21" s="484">
        <v>0</v>
      </c>
      <c r="BQ21" s="484">
        <v>0</v>
      </c>
      <c r="BR21" s="484">
        <v>0</v>
      </c>
      <c r="BS21" s="484">
        <v>0</v>
      </c>
      <c r="BT21" s="484">
        <v>0</v>
      </c>
      <c r="BU21" s="484">
        <v>0</v>
      </c>
      <c r="BV21" s="484">
        <v>0</v>
      </c>
      <c r="BW21" s="484">
        <v>0</v>
      </c>
      <c r="BX21" s="484">
        <v>0</v>
      </c>
      <c r="BY21" s="484">
        <v>0</v>
      </c>
      <c r="BZ21" s="484">
        <v>0</v>
      </c>
      <c r="CA21" s="484">
        <v>0</v>
      </c>
      <c r="CB21" s="484">
        <v>0</v>
      </c>
      <c r="CC21" s="484">
        <v>0</v>
      </c>
      <c r="CD21" s="484">
        <v>0</v>
      </c>
      <c r="CE21" s="484">
        <v>0</v>
      </c>
      <c r="CF21" s="484">
        <v>0</v>
      </c>
      <c r="CG21" s="484">
        <v>0</v>
      </c>
      <c r="CH21" s="484">
        <v>0</v>
      </c>
      <c r="CI21" s="484">
        <v>0</v>
      </c>
      <c r="CJ21" s="484">
        <v>0</v>
      </c>
      <c r="CK21" s="484">
        <v>0</v>
      </c>
      <c r="CL21" s="484">
        <v>0</v>
      </c>
      <c r="CM21" s="484">
        <v>0</v>
      </c>
      <c r="CN21" s="484">
        <v>0</v>
      </c>
      <c r="CO21" s="484">
        <v>0</v>
      </c>
      <c r="CP21" s="484">
        <v>0</v>
      </c>
      <c r="CQ21" s="484">
        <v>0</v>
      </c>
      <c r="CR21" s="484">
        <v>0</v>
      </c>
      <c r="CS21" s="484">
        <v>0</v>
      </c>
      <c r="CT21" s="484">
        <v>0</v>
      </c>
      <c r="CU21" s="484">
        <v>0</v>
      </c>
      <c r="CV21" s="484">
        <v>0</v>
      </c>
      <c r="CW21" s="484">
        <v>0</v>
      </c>
      <c r="CX21" s="484">
        <v>0</v>
      </c>
      <c r="CY21" s="484">
        <v>0</v>
      </c>
      <c r="CZ21" s="484">
        <v>0</v>
      </c>
      <c r="DA21" s="484">
        <v>0</v>
      </c>
      <c r="DB21" s="484">
        <v>0</v>
      </c>
      <c r="DC21" s="484">
        <v>0</v>
      </c>
      <c r="DD21" s="484">
        <v>0</v>
      </c>
      <c r="DE21" s="484">
        <v>0</v>
      </c>
      <c r="DF21" s="484">
        <v>0</v>
      </c>
      <c r="DG21" s="484">
        <v>0</v>
      </c>
      <c r="DH21" s="484">
        <v>0</v>
      </c>
      <c r="DI21" s="484">
        <v>0</v>
      </c>
      <c r="DJ21" s="484">
        <v>0</v>
      </c>
      <c r="DK21" s="484">
        <v>0</v>
      </c>
      <c r="DL21" s="484">
        <v>0</v>
      </c>
      <c r="DM21" s="484">
        <v>0</v>
      </c>
      <c r="DN21" s="484">
        <v>0</v>
      </c>
      <c r="DO21" s="484">
        <v>0</v>
      </c>
      <c r="DP21" s="484">
        <v>0</v>
      </c>
      <c r="DQ21" s="484">
        <v>0</v>
      </c>
      <c r="DR21" s="484">
        <v>0</v>
      </c>
      <c r="DS21" s="484">
        <v>0</v>
      </c>
      <c r="DT21" s="484">
        <v>0</v>
      </c>
      <c r="DU21" s="484">
        <v>0</v>
      </c>
      <c r="DV21" s="484">
        <v>0</v>
      </c>
      <c r="DW21" s="484">
        <v>0</v>
      </c>
      <c r="DX21" s="484">
        <v>0</v>
      </c>
      <c r="DY21" s="484">
        <v>0</v>
      </c>
      <c r="DZ21" s="484">
        <v>0</v>
      </c>
      <c r="EA21" s="484">
        <v>0</v>
      </c>
      <c r="EB21" s="484">
        <v>0</v>
      </c>
      <c r="EC21" s="484">
        <v>0</v>
      </c>
      <c r="ED21" s="484">
        <v>0</v>
      </c>
      <c r="EE21" s="484">
        <v>0</v>
      </c>
      <c r="EF21" s="484">
        <v>0</v>
      </c>
      <c r="EG21" s="484">
        <v>0</v>
      </c>
      <c r="EH21" s="484">
        <v>0</v>
      </c>
      <c r="EI21" s="484">
        <v>0</v>
      </c>
      <c r="EJ21" s="484">
        <v>0</v>
      </c>
      <c r="EK21" s="484">
        <v>0</v>
      </c>
      <c r="EL21" s="484">
        <v>0</v>
      </c>
      <c r="EM21" s="484">
        <v>0</v>
      </c>
      <c r="EN21" s="484">
        <v>0</v>
      </c>
      <c r="EO21" s="484">
        <v>0</v>
      </c>
      <c r="EP21" s="484">
        <v>0</v>
      </c>
      <c r="EQ21" s="484">
        <v>0</v>
      </c>
      <c r="ER21" s="484">
        <v>0</v>
      </c>
      <c r="ES21" s="484">
        <v>0</v>
      </c>
      <c r="ET21" s="484">
        <v>0</v>
      </c>
      <c r="EU21" s="484">
        <v>0</v>
      </c>
      <c r="EV21" s="484">
        <v>0</v>
      </c>
    </row>
    <row r="22" spans="1:152" s="485" customFormat="1" ht="13.5" customHeight="1">
      <c r="A22" s="6" t="s">
        <v>7</v>
      </c>
      <c r="B22" s="1274">
        <v>10.8</v>
      </c>
      <c r="C22" s="1274">
        <v>10.8</v>
      </c>
      <c r="D22" s="1274">
        <v>10.8</v>
      </c>
      <c r="E22" s="1274">
        <v>10.8</v>
      </c>
      <c r="F22" s="1274">
        <v>10.8</v>
      </c>
      <c r="G22" s="1274">
        <v>10.8</v>
      </c>
      <c r="H22" s="1274">
        <v>10.8</v>
      </c>
      <c r="I22" s="1274">
        <v>10.8</v>
      </c>
      <c r="J22" s="1274">
        <v>10.8</v>
      </c>
      <c r="K22" s="1274">
        <v>10.8</v>
      </c>
      <c r="L22" s="1274">
        <v>10.8</v>
      </c>
      <c r="M22" s="1274">
        <v>10.8</v>
      </c>
      <c r="N22" s="1274">
        <v>10.8</v>
      </c>
      <c r="O22" s="1274">
        <v>10.8</v>
      </c>
      <c r="P22" s="1274">
        <v>10.8</v>
      </c>
      <c r="Q22" s="1274">
        <v>10.8</v>
      </c>
      <c r="R22" s="1274">
        <v>10.8</v>
      </c>
      <c r="S22" s="1274">
        <v>10.8</v>
      </c>
      <c r="T22" s="1274">
        <v>10.8</v>
      </c>
      <c r="U22" s="1274">
        <v>10.8</v>
      </c>
      <c r="V22" s="1271">
        <v>10.8</v>
      </c>
      <c r="W22" s="1274">
        <v>10.64</v>
      </c>
      <c r="X22" s="1274">
        <v>10.48</v>
      </c>
      <c r="Y22" s="1274">
        <v>10.32</v>
      </c>
      <c r="Z22" s="1274">
        <v>10.16</v>
      </c>
      <c r="AA22" s="1274">
        <v>10</v>
      </c>
      <c r="AB22" s="1274">
        <v>9.84</v>
      </c>
      <c r="AC22" s="1274">
        <v>9.68</v>
      </c>
      <c r="AD22" s="1274">
        <v>9.52</v>
      </c>
      <c r="AE22" s="1274">
        <v>9.36</v>
      </c>
      <c r="AF22" s="1271">
        <v>9.2</v>
      </c>
      <c r="AG22" s="1274">
        <v>9.07</v>
      </c>
      <c r="AH22" s="1274">
        <v>8.94</v>
      </c>
      <c r="AI22" s="1274">
        <v>8.81</v>
      </c>
      <c r="AJ22" s="1274">
        <v>8.68</v>
      </c>
      <c r="AK22" s="1274">
        <v>8.55</v>
      </c>
      <c r="AL22" s="1274">
        <v>8.420000000000005</v>
      </c>
      <c r="AM22" s="1274">
        <v>8.290000000000006</v>
      </c>
      <c r="AN22" s="1274">
        <v>8.160000000000007</v>
      </c>
      <c r="AO22" s="1274">
        <v>8.030000000000008</v>
      </c>
      <c r="AP22" s="1271">
        <v>7.9</v>
      </c>
      <c r="AQ22" s="1274">
        <v>7.79</v>
      </c>
      <c r="AR22" s="1274">
        <v>7.68</v>
      </c>
      <c r="AS22" s="1274">
        <v>7.57</v>
      </c>
      <c r="AT22" s="1274">
        <v>7.46</v>
      </c>
      <c r="AU22" s="1274">
        <v>7.35</v>
      </c>
      <c r="AV22" s="1274">
        <v>7.24</v>
      </c>
      <c r="AW22" s="1274">
        <v>7.13</v>
      </c>
      <c r="AX22" s="1274">
        <v>7.02</v>
      </c>
      <c r="AY22" s="1274">
        <v>6.91</v>
      </c>
      <c r="AZ22" s="1271">
        <v>6.8</v>
      </c>
      <c r="BA22" s="1274">
        <v>6.65</v>
      </c>
      <c r="BB22" s="1274">
        <v>6.5</v>
      </c>
      <c r="BC22" s="1274">
        <v>6.35</v>
      </c>
      <c r="BD22" s="1274">
        <v>6.2</v>
      </c>
      <c r="BE22" s="1274">
        <v>6.05</v>
      </c>
      <c r="BF22" s="1274">
        <v>5.9</v>
      </c>
      <c r="BG22" s="1274">
        <v>5.75</v>
      </c>
      <c r="BH22" s="1274">
        <v>5.6</v>
      </c>
      <c r="BI22" s="1274">
        <v>5.45</v>
      </c>
      <c r="BJ22" s="1271">
        <v>5.3</v>
      </c>
      <c r="BK22" s="1274">
        <v>5.15</v>
      </c>
      <c r="BL22" s="1274">
        <v>5</v>
      </c>
      <c r="BM22" s="1274">
        <v>4.85</v>
      </c>
      <c r="BN22" s="1274">
        <v>4.7</v>
      </c>
      <c r="BO22" s="1274">
        <v>4.55</v>
      </c>
      <c r="BP22" s="1274">
        <v>4.4</v>
      </c>
      <c r="BQ22" s="1274">
        <v>4.25</v>
      </c>
      <c r="BR22" s="1274">
        <v>4.1</v>
      </c>
      <c r="BS22" s="1274">
        <v>3.95</v>
      </c>
      <c r="BT22" s="1271">
        <v>3.8</v>
      </c>
      <c r="BU22" s="1274">
        <v>3.67</v>
      </c>
      <c r="BV22" s="1274">
        <v>3.54</v>
      </c>
      <c r="BW22" s="1274">
        <v>3.41</v>
      </c>
      <c r="BX22" s="1274">
        <v>3.28</v>
      </c>
      <c r="BY22" s="1274">
        <v>3.15</v>
      </c>
      <c r="BZ22" s="1274">
        <v>3.02</v>
      </c>
      <c r="CA22" s="1274">
        <v>2.89</v>
      </c>
      <c r="CB22" s="1274">
        <v>2.76</v>
      </c>
      <c r="CC22" s="1274">
        <v>2.63</v>
      </c>
      <c r="CD22" s="1271">
        <v>2.5</v>
      </c>
      <c r="CE22" s="1274">
        <v>0</v>
      </c>
      <c r="CF22" s="1274">
        <v>0</v>
      </c>
      <c r="CG22" s="1274">
        <v>0</v>
      </c>
      <c r="CH22" s="1274">
        <v>0</v>
      </c>
      <c r="CI22" s="1274">
        <v>0</v>
      </c>
      <c r="CJ22" s="1274">
        <v>0</v>
      </c>
      <c r="CK22" s="1274">
        <v>0</v>
      </c>
      <c r="CL22" s="1274">
        <v>0</v>
      </c>
      <c r="CM22" s="1274">
        <v>0</v>
      </c>
      <c r="CN22" s="1271">
        <v>0</v>
      </c>
      <c r="CO22" s="1274">
        <v>0</v>
      </c>
      <c r="CP22" s="1274">
        <v>0</v>
      </c>
      <c r="CQ22" s="1274">
        <v>0</v>
      </c>
      <c r="CR22" s="1274">
        <v>0</v>
      </c>
      <c r="CS22" s="1274">
        <v>0</v>
      </c>
      <c r="CT22" s="1274">
        <v>0</v>
      </c>
      <c r="CU22" s="1274">
        <v>0</v>
      </c>
      <c r="CV22" s="1274">
        <v>0</v>
      </c>
      <c r="CW22" s="1274">
        <v>0</v>
      </c>
      <c r="CX22" s="1271">
        <v>0</v>
      </c>
      <c r="CY22" s="1274">
        <v>0</v>
      </c>
      <c r="CZ22" s="1274">
        <v>0</v>
      </c>
      <c r="DA22" s="1274">
        <v>0</v>
      </c>
      <c r="DB22" s="1274">
        <v>0</v>
      </c>
      <c r="DC22" s="1274">
        <v>0</v>
      </c>
      <c r="DD22" s="1274">
        <v>0</v>
      </c>
      <c r="DE22" s="1274">
        <v>0</v>
      </c>
      <c r="DF22" s="1274">
        <v>0</v>
      </c>
      <c r="DG22" s="1274">
        <v>0</v>
      </c>
      <c r="DH22" s="1271">
        <v>0</v>
      </c>
      <c r="DI22" s="1274">
        <v>0</v>
      </c>
      <c r="DJ22" s="1274">
        <v>0</v>
      </c>
      <c r="DK22" s="1274">
        <v>0</v>
      </c>
      <c r="DL22" s="1274">
        <v>0</v>
      </c>
      <c r="DM22" s="1274">
        <v>0</v>
      </c>
      <c r="DN22" s="1274">
        <v>0</v>
      </c>
      <c r="DO22" s="1274">
        <v>0</v>
      </c>
      <c r="DP22" s="1274">
        <v>0</v>
      </c>
      <c r="DQ22" s="1274">
        <v>0</v>
      </c>
      <c r="DR22" s="1271">
        <v>0</v>
      </c>
      <c r="DS22" s="1274">
        <v>0</v>
      </c>
      <c r="DT22" s="1274">
        <v>0</v>
      </c>
      <c r="DU22" s="1274">
        <v>0</v>
      </c>
      <c r="DV22" s="1274">
        <v>0</v>
      </c>
      <c r="DW22" s="1274">
        <v>0</v>
      </c>
      <c r="DX22" s="1274">
        <v>0</v>
      </c>
      <c r="DY22" s="1274">
        <v>0</v>
      </c>
      <c r="DZ22" s="1274">
        <v>0</v>
      </c>
      <c r="EA22" s="1274">
        <v>0</v>
      </c>
      <c r="EB22" s="1271">
        <v>0</v>
      </c>
      <c r="EC22" s="1274">
        <v>0</v>
      </c>
      <c r="ED22" s="1274">
        <v>0</v>
      </c>
      <c r="EE22" s="1274">
        <v>0</v>
      </c>
      <c r="EF22" s="1274">
        <v>0</v>
      </c>
      <c r="EG22" s="1274">
        <v>0</v>
      </c>
      <c r="EH22" s="1274">
        <v>0</v>
      </c>
      <c r="EI22" s="1274">
        <v>0</v>
      </c>
      <c r="EJ22" s="1274">
        <v>0</v>
      </c>
      <c r="EK22" s="1274">
        <v>0</v>
      </c>
      <c r="EL22" s="1271">
        <v>0</v>
      </c>
      <c r="EM22" s="1274">
        <v>0</v>
      </c>
      <c r="EN22" s="1274">
        <v>0</v>
      </c>
      <c r="EO22" s="1274">
        <v>0</v>
      </c>
      <c r="EP22" s="1274">
        <v>0</v>
      </c>
      <c r="EQ22" s="1274">
        <v>0</v>
      </c>
      <c r="ER22" s="1274">
        <v>0</v>
      </c>
      <c r="ES22" s="1274">
        <v>0</v>
      </c>
      <c r="ET22" s="1274">
        <v>0</v>
      </c>
      <c r="EU22" s="1274">
        <v>0</v>
      </c>
      <c r="EV22" s="1271">
        <v>0</v>
      </c>
    </row>
    <row r="23" s="496" customFormat="1" ht="13.5" customHeight="1"/>
    <row r="24" spans="1:152" s="496" customFormat="1" ht="13.5" customHeight="1">
      <c r="A24" s="53"/>
      <c r="B24" s="488"/>
      <c r="C24" s="488"/>
      <c r="D24" s="488"/>
      <c r="E24" s="488"/>
      <c r="F24" s="488"/>
      <c r="G24" s="488"/>
      <c r="H24" s="488"/>
      <c r="I24" s="488"/>
      <c r="J24" s="488"/>
      <c r="K24" s="488"/>
      <c r="L24" s="488"/>
      <c r="M24" s="488"/>
      <c r="N24" s="488"/>
      <c r="O24" s="488"/>
      <c r="P24" s="488"/>
      <c r="Q24" s="488"/>
      <c r="R24" s="488"/>
      <c r="S24" s="488"/>
      <c r="T24" s="488"/>
      <c r="U24" s="488"/>
      <c r="V24" s="489"/>
      <c r="W24" s="488"/>
      <c r="X24" s="488"/>
      <c r="Y24" s="488"/>
      <c r="Z24" s="488"/>
      <c r="AA24" s="488"/>
      <c r="AB24" s="488"/>
      <c r="AC24" s="488"/>
      <c r="AD24" s="488"/>
      <c r="AE24" s="488"/>
      <c r="AF24" s="489"/>
      <c r="AG24" s="488"/>
      <c r="AH24" s="488"/>
      <c r="AI24" s="488"/>
      <c r="AJ24" s="488"/>
      <c r="AK24" s="488"/>
      <c r="AL24" s="488"/>
      <c r="AM24" s="488"/>
      <c r="AN24" s="488"/>
      <c r="AO24" s="488"/>
      <c r="AP24" s="489"/>
      <c r="AQ24" s="488"/>
      <c r="AR24" s="488"/>
      <c r="AS24" s="488"/>
      <c r="AT24" s="488"/>
      <c r="AU24" s="488"/>
      <c r="AV24" s="488"/>
      <c r="AW24" s="488"/>
      <c r="AX24" s="488"/>
      <c r="AY24" s="488"/>
      <c r="AZ24" s="489"/>
      <c r="BA24" s="488"/>
      <c r="BB24" s="488"/>
      <c r="BC24" s="488"/>
      <c r="BD24" s="488"/>
      <c r="BE24" s="488"/>
      <c r="BF24" s="488"/>
      <c r="BG24" s="488"/>
      <c r="BH24" s="488"/>
      <c r="BI24" s="488"/>
      <c r="BJ24" s="489"/>
      <c r="BK24" s="488"/>
      <c r="BL24" s="488"/>
      <c r="BM24" s="488"/>
      <c r="BN24" s="488"/>
      <c r="BO24" s="488"/>
      <c r="BP24" s="488"/>
      <c r="BQ24" s="488"/>
      <c r="BR24" s="488"/>
      <c r="BS24" s="488"/>
      <c r="BT24" s="489"/>
      <c r="BU24" s="488"/>
      <c r="BV24" s="488"/>
      <c r="BW24" s="488"/>
      <c r="BX24" s="488"/>
      <c r="BY24" s="488"/>
      <c r="BZ24" s="488"/>
      <c r="CA24" s="488"/>
      <c r="CB24" s="488"/>
      <c r="CC24" s="488"/>
      <c r="CD24" s="489"/>
      <c r="CE24" s="488"/>
      <c r="CF24" s="488"/>
      <c r="CG24" s="488"/>
      <c r="CH24" s="488"/>
      <c r="CI24" s="488"/>
      <c r="CJ24" s="488"/>
      <c r="CK24" s="488"/>
      <c r="CL24" s="488"/>
      <c r="CM24" s="488"/>
      <c r="CN24" s="489"/>
      <c r="CO24" s="488"/>
      <c r="CP24" s="488"/>
      <c r="CQ24" s="488"/>
      <c r="CR24" s="488"/>
      <c r="CS24" s="488"/>
      <c r="CT24" s="488"/>
      <c r="CU24" s="488"/>
      <c r="CV24" s="488"/>
      <c r="CW24" s="488"/>
      <c r="CX24" s="489"/>
      <c r="CY24" s="488"/>
      <c r="CZ24" s="488"/>
      <c r="DA24" s="488"/>
      <c r="DB24" s="488"/>
      <c r="DC24" s="488"/>
      <c r="DD24" s="488"/>
      <c r="DE24" s="488"/>
      <c r="DF24" s="488"/>
      <c r="DG24" s="488"/>
      <c r="DH24" s="489"/>
      <c r="DI24" s="488"/>
      <c r="DJ24" s="488"/>
      <c r="DK24" s="488"/>
      <c r="DL24" s="488"/>
      <c r="DM24" s="488"/>
      <c r="DN24" s="488"/>
      <c r="DO24" s="488"/>
      <c r="DP24" s="488"/>
      <c r="DQ24" s="488"/>
      <c r="DR24" s="489"/>
      <c r="DS24" s="488"/>
      <c r="DT24" s="488"/>
      <c r="DU24" s="488"/>
      <c r="DV24" s="488"/>
      <c r="DW24" s="488"/>
      <c r="DX24" s="488"/>
      <c r="DY24" s="488"/>
      <c r="DZ24" s="488"/>
      <c r="EA24" s="488"/>
      <c r="EB24" s="489"/>
      <c r="EC24" s="488"/>
      <c r="ED24" s="488"/>
      <c r="EE24" s="488"/>
      <c r="EF24" s="488"/>
      <c r="EG24" s="488"/>
      <c r="EH24" s="488"/>
      <c r="EI24" s="488"/>
      <c r="EJ24" s="488"/>
      <c r="EK24" s="488"/>
      <c r="EL24" s="489"/>
      <c r="EM24" s="488"/>
      <c r="EN24" s="488"/>
      <c r="EO24" s="488"/>
      <c r="EP24" s="488"/>
      <c r="EQ24" s="488"/>
      <c r="ER24" s="488"/>
      <c r="ES24" s="488"/>
      <c r="ET24" s="488"/>
      <c r="EU24" s="488"/>
      <c r="EV24" s="489"/>
    </row>
    <row r="25" spans="1:152" s="496" customFormat="1" ht="13.5" customHeight="1">
      <c r="A25" s="53"/>
      <c r="B25" s="488"/>
      <c r="C25" s="488"/>
      <c r="D25" s="488"/>
      <c r="E25" s="488"/>
      <c r="F25" s="488"/>
      <c r="G25" s="488"/>
      <c r="H25" s="488"/>
      <c r="I25" s="488"/>
      <c r="J25" s="488"/>
      <c r="K25" s="488"/>
      <c r="L25" s="488"/>
      <c r="M25" s="488"/>
      <c r="N25" s="488"/>
      <c r="O25" s="488"/>
      <c r="P25" s="488"/>
      <c r="Q25" s="488"/>
      <c r="R25" s="488"/>
      <c r="S25" s="488"/>
      <c r="T25" s="488"/>
      <c r="U25" s="488"/>
      <c r="V25" s="489"/>
      <c r="W25" s="488"/>
      <c r="X25" s="488"/>
      <c r="Y25" s="488"/>
      <c r="Z25" s="488"/>
      <c r="AA25" s="488"/>
      <c r="AB25" s="488"/>
      <c r="AC25" s="488"/>
      <c r="AD25" s="488"/>
      <c r="AE25" s="488"/>
      <c r="AF25" s="489"/>
      <c r="AG25" s="488"/>
      <c r="AH25" s="488"/>
      <c r="AI25" s="488"/>
      <c r="AJ25" s="488"/>
      <c r="AK25" s="488"/>
      <c r="AL25" s="488"/>
      <c r="AM25" s="488"/>
      <c r="AN25" s="488"/>
      <c r="AO25" s="488"/>
      <c r="AP25" s="489"/>
      <c r="AQ25" s="488"/>
      <c r="AR25" s="488"/>
      <c r="AS25" s="488"/>
      <c r="AT25" s="488"/>
      <c r="AU25" s="488"/>
      <c r="AV25" s="488"/>
      <c r="AW25" s="488"/>
      <c r="AX25" s="488"/>
      <c r="AY25" s="488"/>
      <c r="AZ25" s="489"/>
      <c r="BA25" s="488"/>
      <c r="BB25" s="488"/>
      <c r="BC25" s="488"/>
      <c r="BD25" s="488"/>
      <c r="BE25" s="488"/>
      <c r="BF25" s="488"/>
      <c r="BG25" s="488"/>
      <c r="BH25" s="488"/>
      <c r="BI25" s="488"/>
      <c r="BJ25" s="489"/>
      <c r="BK25" s="488"/>
      <c r="BL25" s="488"/>
      <c r="BM25" s="488"/>
      <c r="BN25" s="488"/>
      <c r="BO25" s="488"/>
      <c r="BP25" s="488"/>
      <c r="BQ25" s="488"/>
      <c r="BR25" s="488"/>
      <c r="BS25" s="488"/>
      <c r="BT25" s="489"/>
      <c r="BU25" s="488"/>
      <c r="BV25" s="488"/>
      <c r="BW25" s="488"/>
      <c r="BX25" s="488"/>
      <c r="BY25" s="488"/>
      <c r="BZ25" s="488"/>
      <c r="CA25" s="488"/>
      <c r="CB25" s="488"/>
      <c r="CC25" s="488"/>
      <c r="CD25" s="489"/>
      <c r="CE25" s="488"/>
      <c r="CF25" s="488"/>
      <c r="CG25" s="488"/>
      <c r="CH25" s="488"/>
      <c r="CI25" s="488"/>
      <c r="CJ25" s="488"/>
      <c r="CK25" s="488"/>
      <c r="CL25" s="488"/>
      <c r="CM25" s="488"/>
      <c r="CN25" s="489"/>
      <c r="CO25" s="488"/>
      <c r="CP25" s="488"/>
      <c r="CQ25" s="488"/>
      <c r="CR25" s="488"/>
      <c r="CS25" s="488"/>
      <c r="CT25" s="488"/>
      <c r="CU25" s="488"/>
      <c r="CV25" s="488"/>
      <c r="CW25" s="488"/>
      <c r="CX25" s="489"/>
      <c r="CY25" s="488"/>
      <c r="CZ25" s="488"/>
      <c r="DA25" s="488"/>
      <c r="DB25" s="488"/>
      <c r="DC25" s="488"/>
      <c r="DD25" s="488"/>
      <c r="DE25" s="488"/>
      <c r="DF25" s="488"/>
      <c r="DG25" s="488"/>
      <c r="DH25" s="489"/>
      <c r="DI25" s="488"/>
      <c r="DJ25" s="488"/>
      <c r="DK25" s="488"/>
      <c r="DL25" s="488"/>
      <c r="DM25" s="488"/>
      <c r="DN25" s="488"/>
      <c r="DO25" s="488"/>
      <c r="DP25" s="488"/>
      <c r="DQ25" s="488"/>
      <c r="DR25" s="489"/>
      <c r="DS25" s="488"/>
      <c r="DT25" s="488"/>
      <c r="DU25" s="488"/>
      <c r="DV25" s="488"/>
      <c r="DW25" s="488"/>
      <c r="DX25" s="488"/>
      <c r="DY25" s="488"/>
      <c r="DZ25" s="488"/>
      <c r="EA25" s="488"/>
      <c r="EB25" s="489"/>
      <c r="EC25" s="488"/>
      <c r="ED25" s="488"/>
      <c r="EE25" s="488"/>
      <c r="EF25" s="488"/>
      <c r="EG25" s="488"/>
      <c r="EH25" s="488"/>
      <c r="EI25" s="488"/>
      <c r="EJ25" s="488"/>
      <c r="EK25" s="488"/>
      <c r="EL25" s="489"/>
      <c r="EM25" s="488"/>
      <c r="EN25" s="488"/>
      <c r="EO25" s="488"/>
      <c r="EP25" s="488"/>
      <c r="EQ25" s="488"/>
      <c r="ER25" s="488"/>
      <c r="ES25" s="488"/>
      <c r="ET25" s="488"/>
      <c r="EU25" s="488"/>
      <c r="EV25" s="489"/>
    </row>
    <row r="26" spans="1:152" s="496" customFormat="1" ht="13.5" customHeight="1">
      <c r="A26" s="53"/>
      <c r="B26" s="488"/>
      <c r="C26" s="488"/>
      <c r="D26" s="488"/>
      <c r="E26" s="488"/>
      <c r="F26" s="488"/>
      <c r="G26" s="488"/>
      <c r="H26" s="488"/>
      <c r="I26" s="488"/>
      <c r="J26" s="488"/>
      <c r="K26" s="488"/>
      <c r="L26" s="488"/>
      <c r="M26" s="488"/>
      <c r="N26" s="488"/>
      <c r="O26" s="488"/>
      <c r="P26" s="488"/>
      <c r="Q26" s="488"/>
      <c r="R26" s="488"/>
      <c r="S26" s="488"/>
      <c r="T26" s="488"/>
      <c r="U26" s="488"/>
      <c r="V26" s="489"/>
      <c r="W26" s="488"/>
      <c r="X26" s="488"/>
      <c r="Y26" s="488"/>
      <c r="Z26" s="488"/>
      <c r="AA26" s="488"/>
      <c r="AB26" s="488"/>
      <c r="AC26" s="488"/>
      <c r="AD26" s="488"/>
      <c r="AE26" s="488"/>
      <c r="AF26" s="489"/>
      <c r="AG26" s="488"/>
      <c r="AH26" s="488"/>
      <c r="AI26" s="488"/>
      <c r="AJ26" s="488"/>
      <c r="AK26" s="488"/>
      <c r="AL26" s="488"/>
      <c r="AM26" s="488"/>
      <c r="AN26" s="488"/>
      <c r="AO26" s="488"/>
      <c r="AP26" s="489"/>
      <c r="AQ26" s="488"/>
      <c r="AR26" s="488"/>
      <c r="AS26" s="488"/>
      <c r="AT26" s="488"/>
      <c r="AU26" s="488"/>
      <c r="AV26" s="488"/>
      <c r="AW26" s="488"/>
      <c r="AX26" s="488"/>
      <c r="AY26" s="488"/>
      <c r="AZ26" s="489"/>
      <c r="BA26" s="488"/>
      <c r="BB26" s="488"/>
      <c r="BC26" s="488"/>
      <c r="BD26" s="488"/>
      <c r="BE26" s="488"/>
      <c r="BF26" s="488"/>
      <c r="BG26" s="488"/>
      <c r="BH26" s="488"/>
      <c r="BI26" s="488"/>
      <c r="BJ26" s="489"/>
      <c r="BK26" s="488"/>
      <c r="BL26" s="488"/>
      <c r="BM26" s="488"/>
      <c r="BN26" s="488"/>
      <c r="BO26" s="488"/>
      <c r="BP26" s="488"/>
      <c r="BQ26" s="488"/>
      <c r="BR26" s="488"/>
      <c r="BS26" s="488"/>
      <c r="BT26" s="489"/>
      <c r="BU26" s="488"/>
      <c r="BV26" s="488"/>
      <c r="BW26" s="488"/>
      <c r="BX26" s="488"/>
      <c r="BY26" s="488"/>
      <c r="BZ26" s="488"/>
      <c r="CA26" s="488"/>
      <c r="CB26" s="488"/>
      <c r="CC26" s="488"/>
      <c r="CD26" s="489"/>
      <c r="CE26" s="488"/>
      <c r="CF26" s="488"/>
      <c r="CG26" s="488"/>
      <c r="CH26" s="488"/>
      <c r="CI26" s="488"/>
      <c r="CJ26" s="488"/>
      <c r="CK26" s="488"/>
      <c r="CL26" s="488"/>
      <c r="CM26" s="488"/>
      <c r="CN26" s="489"/>
      <c r="CO26" s="488"/>
      <c r="CP26" s="488"/>
      <c r="CQ26" s="488"/>
      <c r="CR26" s="488"/>
      <c r="CS26" s="488"/>
      <c r="CT26" s="488"/>
      <c r="CU26" s="488"/>
      <c r="CV26" s="488"/>
      <c r="CW26" s="488"/>
      <c r="CX26" s="489"/>
      <c r="CY26" s="488"/>
      <c r="CZ26" s="488"/>
      <c r="DA26" s="488"/>
      <c r="DB26" s="488"/>
      <c r="DC26" s="488"/>
      <c r="DD26" s="488"/>
      <c r="DE26" s="488"/>
      <c r="DF26" s="488"/>
      <c r="DG26" s="488"/>
      <c r="DH26" s="489"/>
      <c r="DI26" s="488"/>
      <c r="DJ26" s="488"/>
      <c r="DK26" s="488"/>
      <c r="DL26" s="488"/>
      <c r="DM26" s="488"/>
      <c r="DN26" s="488"/>
      <c r="DO26" s="488"/>
      <c r="DP26" s="488"/>
      <c r="DQ26" s="488"/>
      <c r="DR26" s="489"/>
      <c r="DS26" s="488"/>
      <c r="DT26" s="488"/>
      <c r="DU26" s="488"/>
      <c r="DV26" s="488"/>
      <c r="DW26" s="488"/>
      <c r="DX26" s="488"/>
      <c r="DY26" s="488"/>
      <c r="DZ26" s="488"/>
      <c r="EA26" s="488"/>
      <c r="EB26" s="489"/>
      <c r="EC26" s="488"/>
      <c r="ED26" s="488"/>
      <c r="EE26" s="488"/>
      <c r="EF26" s="488"/>
      <c r="EG26" s="488"/>
      <c r="EH26" s="488"/>
      <c r="EI26" s="488"/>
      <c r="EJ26" s="488"/>
      <c r="EK26" s="488"/>
      <c r="EL26" s="489"/>
      <c r="EM26" s="488"/>
      <c r="EN26" s="488"/>
      <c r="EO26" s="488"/>
      <c r="EP26" s="488"/>
      <c r="EQ26" s="488"/>
      <c r="ER26" s="488"/>
      <c r="ES26" s="488"/>
      <c r="ET26" s="488"/>
      <c r="EU26" s="488"/>
      <c r="EV26" s="489"/>
    </row>
    <row r="27" spans="1:152" s="496" customFormat="1" ht="13.5" customHeight="1">
      <c r="A27" s="53"/>
      <c r="B27" s="488"/>
      <c r="C27" s="488"/>
      <c r="D27" s="488"/>
      <c r="E27" s="488"/>
      <c r="F27" s="488"/>
      <c r="G27" s="488"/>
      <c r="H27" s="488"/>
      <c r="I27" s="488"/>
      <c r="J27" s="488"/>
      <c r="K27" s="488"/>
      <c r="L27" s="488"/>
      <c r="M27" s="488"/>
      <c r="N27" s="488"/>
      <c r="O27" s="488"/>
      <c r="P27" s="488"/>
      <c r="Q27" s="488"/>
      <c r="R27" s="488"/>
      <c r="S27" s="488"/>
      <c r="T27" s="488"/>
      <c r="U27" s="488"/>
      <c r="V27" s="489"/>
      <c r="W27" s="488"/>
      <c r="X27" s="488"/>
      <c r="Y27" s="488"/>
      <c r="Z27" s="488"/>
      <c r="AA27" s="488"/>
      <c r="AB27" s="488"/>
      <c r="AC27" s="488"/>
      <c r="AD27" s="488"/>
      <c r="AE27" s="488"/>
      <c r="AF27" s="489"/>
      <c r="AG27" s="488"/>
      <c r="AH27" s="488"/>
      <c r="AI27" s="488"/>
      <c r="AJ27" s="488"/>
      <c r="AK27" s="488"/>
      <c r="AL27" s="488"/>
      <c r="AM27" s="488"/>
      <c r="AN27" s="488"/>
      <c r="AO27" s="488"/>
      <c r="AP27" s="489"/>
      <c r="AQ27" s="488"/>
      <c r="AR27" s="488"/>
      <c r="AS27" s="488"/>
      <c r="AT27" s="488"/>
      <c r="AU27" s="488"/>
      <c r="AV27" s="488"/>
      <c r="AW27" s="488"/>
      <c r="AX27" s="488"/>
      <c r="AY27" s="488"/>
      <c r="AZ27" s="489"/>
      <c r="BA27" s="488"/>
      <c r="BB27" s="488"/>
      <c r="BC27" s="488"/>
      <c r="BD27" s="488"/>
      <c r="BE27" s="488"/>
      <c r="BF27" s="488"/>
      <c r="BG27" s="488"/>
      <c r="BH27" s="488"/>
      <c r="BI27" s="488"/>
      <c r="BJ27" s="489"/>
      <c r="BK27" s="488"/>
      <c r="BL27" s="488"/>
      <c r="BM27" s="488"/>
      <c r="BN27" s="488"/>
      <c r="BO27" s="488"/>
      <c r="BP27" s="488"/>
      <c r="BQ27" s="488"/>
      <c r="BR27" s="488"/>
      <c r="BS27" s="488"/>
      <c r="BT27" s="489"/>
      <c r="BU27" s="488"/>
      <c r="BV27" s="488"/>
      <c r="BW27" s="488"/>
      <c r="BX27" s="488"/>
      <c r="BY27" s="488"/>
      <c r="BZ27" s="488"/>
      <c r="CA27" s="488"/>
      <c r="CB27" s="488"/>
      <c r="CC27" s="488"/>
      <c r="CD27" s="489"/>
      <c r="CE27" s="488"/>
      <c r="CF27" s="488"/>
      <c r="CG27" s="488"/>
      <c r="CH27" s="488"/>
      <c r="CI27" s="488"/>
      <c r="CJ27" s="488"/>
      <c r="CK27" s="488"/>
      <c r="CL27" s="488"/>
      <c r="CM27" s="488"/>
      <c r="CN27" s="489"/>
      <c r="CO27" s="488"/>
      <c r="CP27" s="488"/>
      <c r="CQ27" s="488"/>
      <c r="CR27" s="488"/>
      <c r="CS27" s="488"/>
      <c r="CT27" s="488"/>
      <c r="CU27" s="488"/>
      <c r="CV27" s="488"/>
      <c r="CW27" s="488"/>
      <c r="CX27" s="489"/>
      <c r="CY27" s="488"/>
      <c r="CZ27" s="488"/>
      <c r="DA27" s="488"/>
      <c r="DB27" s="488"/>
      <c r="DC27" s="488"/>
      <c r="DD27" s="488"/>
      <c r="DE27" s="488"/>
      <c r="DF27" s="488"/>
      <c r="DG27" s="488"/>
      <c r="DH27" s="489"/>
      <c r="DI27" s="488"/>
      <c r="DJ27" s="488"/>
      <c r="DK27" s="488"/>
      <c r="DL27" s="488"/>
      <c r="DM27" s="488"/>
      <c r="DN27" s="488"/>
      <c r="DO27" s="488"/>
      <c r="DP27" s="488"/>
      <c r="DQ27" s="488"/>
      <c r="DR27" s="489"/>
      <c r="DS27" s="488"/>
      <c r="DT27" s="488"/>
      <c r="DU27" s="488"/>
      <c r="DV27" s="488"/>
      <c r="DW27" s="488"/>
      <c r="DX27" s="488"/>
      <c r="DY27" s="488"/>
      <c r="DZ27" s="488"/>
      <c r="EA27" s="488"/>
      <c r="EB27" s="489"/>
      <c r="EC27" s="488"/>
      <c r="ED27" s="488"/>
      <c r="EE27" s="488"/>
      <c r="EF27" s="488"/>
      <c r="EG27" s="488"/>
      <c r="EH27" s="488"/>
      <c r="EI27" s="488"/>
      <c r="EJ27" s="488"/>
      <c r="EK27" s="488"/>
      <c r="EL27" s="489"/>
      <c r="EM27" s="488"/>
      <c r="EN27" s="488"/>
      <c r="EO27" s="488"/>
      <c r="EP27" s="488"/>
      <c r="EQ27" s="488"/>
      <c r="ER27" s="488"/>
      <c r="ES27" s="488"/>
      <c r="ET27" s="488"/>
      <c r="EU27" s="488"/>
      <c r="EV27" s="489"/>
    </row>
    <row r="28" spans="1:152" s="496" customFormat="1" ht="13.5" customHeight="1">
      <c r="A28" s="53"/>
      <c r="B28" s="488"/>
      <c r="C28" s="488"/>
      <c r="D28" s="488"/>
      <c r="E28" s="488"/>
      <c r="F28" s="488"/>
      <c r="G28" s="488"/>
      <c r="H28" s="488"/>
      <c r="I28" s="488"/>
      <c r="J28" s="488"/>
      <c r="K28" s="488"/>
      <c r="L28" s="488"/>
      <c r="M28" s="488"/>
      <c r="N28" s="488"/>
      <c r="O28" s="488"/>
      <c r="P28" s="488"/>
      <c r="Q28" s="488"/>
      <c r="R28" s="488"/>
      <c r="S28" s="488"/>
      <c r="T28" s="488"/>
      <c r="U28" s="488"/>
      <c r="V28" s="489"/>
      <c r="W28" s="488"/>
      <c r="X28" s="488"/>
      <c r="Y28" s="488"/>
      <c r="Z28" s="488"/>
      <c r="AA28" s="488"/>
      <c r="AB28" s="488"/>
      <c r="AC28" s="488"/>
      <c r="AD28" s="488"/>
      <c r="AE28" s="488"/>
      <c r="AF28" s="489"/>
      <c r="AG28" s="488"/>
      <c r="AH28" s="488"/>
      <c r="AI28" s="488"/>
      <c r="AJ28" s="488"/>
      <c r="AK28" s="488"/>
      <c r="AL28" s="488"/>
      <c r="AM28" s="488"/>
      <c r="AN28" s="488"/>
      <c r="AO28" s="488"/>
      <c r="AP28" s="489"/>
      <c r="AQ28" s="488"/>
      <c r="AR28" s="488"/>
      <c r="AS28" s="488"/>
      <c r="AT28" s="488"/>
      <c r="AU28" s="488"/>
      <c r="AV28" s="488"/>
      <c r="AW28" s="488"/>
      <c r="AX28" s="488"/>
      <c r="AY28" s="488"/>
      <c r="AZ28" s="489"/>
      <c r="BA28" s="488"/>
      <c r="BB28" s="488"/>
      <c r="BC28" s="488"/>
      <c r="BD28" s="488"/>
      <c r="BE28" s="488"/>
      <c r="BF28" s="488"/>
      <c r="BG28" s="488"/>
      <c r="BH28" s="488"/>
      <c r="BI28" s="488"/>
      <c r="BJ28" s="489"/>
      <c r="BK28" s="488"/>
      <c r="BL28" s="488"/>
      <c r="BM28" s="488"/>
      <c r="BN28" s="488"/>
      <c r="BO28" s="488"/>
      <c r="BP28" s="488"/>
      <c r="BQ28" s="488"/>
      <c r="BR28" s="488"/>
      <c r="BS28" s="488"/>
      <c r="BT28" s="489"/>
      <c r="BU28" s="488"/>
      <c r="BV28" s="488"/>
      <c r="BW28" s="488"/>
      <c r="BX28" s="488"/>
      <c r="BY28" s="488"/>
      <c r="BZ28" s="488"/>
      <c r="CA28" s="488"/>
      <c r="CB28" s="488"/>
      <c r="CC28" s="488"/>
      <c r="CD28" s="489"/>
      <c r="CE28" s="488"/>
      <c r="CF28" s="488"/>
      <c r="CG28" s="488"/>
      <c r="CH28" s="488"/>
      <c r="CI28" s="488"/>
      <c r="CJ28" s="488"/>
      <c r="CK28" s="488"/>
      <c r="CL28" s="488"/>
      <c r="CM28" s="488"/>
      <c r="CN28" s="489"/>
      <c r="CO28" s="488"/>
      <c r="CP28" s="488"/>
      <c r="CQ28" s="488"/>
      <c r="CR28" s="488"/>
      <c r="CS28" s="488"/>
      <c r="CT28" s="488"/>
      <c r="CU28" s="488"/>
      <c r="CV28" s="488"/>
      <c r="CW28" s="488"/>
      <c r="CX28" s="489"/>
      <c r="CY28" s="488"/>
      <c r="CZ28" s="488"/>
      <c r="DA28" s="488"/>
      <c r="DB28" s="488"/>
      <c r="DC28" s="488"/>
      <c r="DD28" s="488"/>
      <c r="DE28" s="488"/>
      <c r="DF28" s="488"/>
      <c r="DG28" s="488"/>
      <c r="DH28" s="489"/>
      <c r="DI28" s="488"/>
      <c r="DJ28" s="488"/>
      <c r="DK28" s="488"/>
      <c r="DL28" s="488"/>
      <c r="DM28" s="488"/>
      <c r="DN28" s="488"/>
      <c r="DO28" s="488"/>
      <c r="DP28" s="488"/>
      <c r="DQ28" s="488"/>
      <c r="DR28" s="489"/>
      <c r="DS28" s="488"/>
      <c r="DT28" s="488"/>
      <c r="DU28" s="488"/>
      <c r="DV28" s="488"/>
      <c r="DW28" s="488"/>
      <c r="DX28" s="488"/>
      <c r="DY28" s="488"/>
      <c r="DZ28" s="488"/>
      <c r="EA28" s="488"/>
      <c r="EB28" s="489"/>
      <c r="EC28" s="488"/>
      <c r="ED28" s="488"/>
      <c r="EE28" s="488"/>
      <c r="EF28" s="488"/>
      <c r="EG28" s="488"/>
      <c r="EH28" s="488"/>
      <c r="EI28" s="488"/>
      <c r="EJ28" s="488"/>
      <c r="EK28" s="488"/>
      <c r="EL28" s="489"/>
      <c r="EM28" s="488"/>
      <c r="EN28" s="488"/>
      <c r="EO28" s="488"/>
      <c r="EP28" s="488"/>
      <c r="EQ28" s="488"/>
      <c r="ER28" s="488"/>
      <c r="ES28" s="488"/>
      <c r="ET28" s="488"/>
      <c r="EU28" s="488"/>
      <c r="EV28" s="489"/>
    </row>
    <row r="29" spans="1:152" s="496" customFormat="1" ht="13.5" customHeight="1">
      <c r="A29" s="53"/>
      <c r="B29" s="488"/>
      <c r="C29" s="488"/>
      <c r="D29" s="488"/>
      <c r="E29" s="488"/>
      <c r="F29" s="488"/>
      <c r="G29" s="488"/>
      <c r="H29" s="488"/>
      <c r="I29" s="488"/>
      <c r="J29" s="488"/>
      <c r="K29" s="488"/>
      <c r="L29" s="488"/>
      <c r="M29" s="488"/>
      <c r="N29" s="488"/>
      <c r="O29" s="488"/>
      <c r="P29" s="488"/>
      <c r="Q29" s="488"/>
      <c r="R29" s="488"/>
      <c r="S29" s="488"/>
      <c r="T29" s="488"/>
      <c r="U29" s="488"/>
      <c r="V29" s="489"/>
      <c r="W29" s="488"/>
      <c r="X29" s="488"/>
      <c r="Y29" s="488"/>
      <c r="Z29" s="488"/>
      <c r="AA29" s="488"/>
      <c r="AB29" s="488"/>
      <c r="AC29" s="488"/>
      <c r="AD29" s="488"/>
      <c r="AE29" s="488"/>
      <c r="AF29" s="489"/>
      <c r="AG29" s="488"/>
      <c r="AH29" s="488"/>
      <c r="AI29" s="488"/>
      <c r="AJ29" s="488"/>
      <c r="AK29" s="488"/>
      <c r="AL29" s="488"/>
      <c r="AM29" s="488"/>
      <c r="AN29" s="488"/>
      <c r="AO29" s="488"/>
      <c r="AP29" s="489"/>
      <c r="AQ29" s="488"/>
      <c r="AR29" s="488"/>
      <c r="AS29" s="488"/>
      <c r="AT29" s="488"/>
      <c r="AU29" s="488"/>
      <c r="AV29" s="488"/>
      <c r="AW29" s="488"/>
      <c r="AX29" s="488"/>
      <c r="AY29" s="488"/>
      <c r="AZ29" s="489"/>
      <c r="BA29" s="488"/>
      <c r="BB29" s="488"/>
      <c r="BC29" s="488"/>
      <c r="BD29" s="488"/>
      <c r="BE29" s="488"/>
      <c r="BF29" s="488"/>
      <c r="BG29" s="488"/>
      <c r="BH29" s="488"/>
      <c r="BI29" s="488"/>
      <c r="BJ29" s="489"/>
      <c r="BK29" s="488"/>
      <c r="BL29" s="488"/>
      <c r="BM29" s="488"/>
      <c r="BN29" s="488"/>
      <c r="BO29" s="488"/>
      <c r="BP29" s="488"/>
      <c r="BQ29" s="488"/>
      <c r="BR29" s="488"/>
      <c r="BS29" s="488"/>
      <c r="BT29" s="489"/>
      <c r="BU29" s="488"/>
      <c r="BV29" s="488"/>
      <c r="BW29" s="488"/>
      <c r="BX29" s="488"/>
      <c r="BY29" s="488"/>
      <c r="BZ29" s="488"/>
      <c r="CA29" s="488"/>
      <c r="CB29" s="488"/>
      <c r="CC29" s="488"/>
      <c r="CD29" s="489"/>
      <c r="CE29" s="488"/>
      <c r="CF29" s="488"/>
      <c r="CG29" s="488"/>
      <c r="CH29" s="488"/>
      <c r="CI29" s="488"/>
      <c r="CJ29" s="488"/>
      <c r="CK29" s="488"/>
      <c r="CL29" s="488"/>
      <c r="CM29" s="488"/>
      <c r="CN29" s="489"/>
      <c r="CO29" s="488"/>
      <c r="CP29" s="488"/>
      <c r="CQ29" s="488"/>
      <c r="CR29" s="488"/>
      <c r="CS29" s="488"/>
      <c r="CT29" s="488"/>
      <c r="CU29" s="488"/>
      <c r="CV29" s="488"/>
      <c r="CW29" s="488"/>
      <c r="CX29" s="489"/>
      <c r="CY29" s="488"/>
      <c r="CZ29" s="488"/>
      <c r="DA29" s="488"/>
      <c r="DB29" s="488"/>
      <c r="DC29" s="488"/>
      <c r="DD29" s="488"/>
      <c r="DE29" s="488"/>
      <c r="DF29" s="488"/>
      <c r="DG29" s="488"/>
      <c r="DH29" s="489"/>
      <c r="DI29" s="488"/>
      <c r="DJ29" s="488"/>
      <c r="DK29" s="488"/>
      <c r="DL29" s="488"/>
      <c r="DM29" s="488"/>
      <c r="DN29" s="488"/>
      <c r="DO29" s="488"/>
      <c r="DP29" s="488"/>
      <c r="DQ29" s="488"/>
      <c r="DR29" s="489"/>
      <c r="DS29" s="488"/>
      <c r="DT29" s="488"/>
      <c r="DU29" s="488"/>
      <c r="DV29" s="488"/>
      <c r="DW29" s="488"/>
      <c r="DX29" s="488"/>
      <c r="DY29" s="488"/>
      <c r="DZ29" s="488"/>
      <c r="EA29" s="488"/>
      <c r="EB29" s="489"/>
      <c r="EC29" s="488"/>
      <c r="ED29" s="488"/>
      <c r="EE29" s="488"/>
      <c r="EF29" s="488"/>
      <c r="EG29" s="488"/>
      <c r="EH29" s="488"/>
      <c r="EI29" s="488"/>
      <c r="EJ29" s="488"/>
      <c r="EK29" s="488"/>
      <c r="EL29" s="489"/>
      <c r="EM29" s="488"/>
      <c r="EN29" s="488"/>
      <c r="EO29" s="488"/>
      <c r="EP29" s="488"/>
      <c r="EQ29" s="488"/>
      <c r="ER29" s="488"/>
      <c r="ES29" s="488"/>
      <c r="ET29" s="488"/>
      <c r="EU29" s="488"/>
      <c r="EV29" s="489"/>
    </row>
    <row r="30" spans="1:152" s="496" customFormat="1" ht="13.5" customHeight="1">
      <c r="A30" s="53"/>
      <c r="B30" s="488"/>
      <c r="C30" s="488"/>
      <c r="D30" s="488"/>
      <c r="E30" s="488"/>
      <c r="F30" s="488"/>
      <c r="G30" s="488"/>
      <c r="H30" s="488"/>
      <c r="I30" s="488"/>
      <c r="J30" s="488"/>
      <c r="K30" s="488"/>
      <c r="L30" s="488"/>
      <c r="M30" s="488"/>
      <c r="N30" s="488"/>
      <c r="O30" s="488"/>
      <c r="P30" s="488"/>
      <c r="Q30" s="488"/>
      <c r="R30" s="488"/>
      <c r="S30" s="488"/>
      <c r="T30" s="488"/>
      <c r="U30" s="488"/>
      <c r="V30" s="489"/>
      <c r="W30" s="488"/>
      <c r="X30" s="488"/>
      <c r="Y30" s="488"/>
      <c r="Z30" s="488"/>
      <c r="AA30" s="488"/>
      <c r="AB30" s="488"/>
      <c r="AC30" s="488"/>
      <c r="AD30" s="488"/>
      <c r="AE30" s="488"/>
      <c r="AF30" s="489"/>
      <c r="AG30" s="488"/>
      <c r="AH30" s="488"/>
      <c r="AI30" s="488"/>
      <c r="AJ30" s="488"/>
      <c r="AK30" s="488"/>
      <c r="AL30" s="488"/>
      <c r="AM30" s="488"/>
      <c r="AN30" s="488"/>
      <c r="AO30" s="488"/>
      <c r="AP30" s="489"/>
      <c r="AQ30" s="488"/>
      <c r="AR30" s="488"/>
      <c r="AS30" s="488"/>
      <c r="AT30" s="488"/>
      <c r="AU30" s="488"/>
      <c r="AV30" s="488"/>
      <c r="AW30" s="488"/>
      <c r="AX30" s="488"/>
      <c r="AY30" s="488"/>
      <c r="AZ30" s="489"/>
      <c r="BA30" s="488"/>
      <c r="BB30" s="488"/>
      <c r="BC30" s="488"/>
      <c r="BD30" s="488"/>
      <c r="BE30" s="488"/>
      <c r="BF30" s="488"/>
      <c r="BG30" s="488"/>
      <c r="BH30" s="488"/>
      <c r="BI30" s="488"/>
      <c r="BJ30" s="489"/>
      <c r="BK30" s="488"/>
      <c r="BL30" s="488"/>
      <c r="BM30" s="488"/>
      <c r="BN30" s="488"/>
      <c r="BO30" s="488"/>
      <c r="BP30" s="488"/>
      <c r="BQ30" s="488"/>
      <c r="BR30" s="488"/>
      <c r="BS30" s="488"/>
      <c r="BT30" s="489"/>
      <c r="BU30" s="488"/>
      <c r="BV30" s="488"/>
      <c r="BW30" s="488"/>
      <c r="BX30" s="488"/>
      <c r="BY30" s="488"/>
      <c r="BZ30" s="488"/>
      <c r="CA30" s="488"/>
      <c r="CB30" s="488"/>
      <c r="CC30" s="488"/>
      <c r="CD30" s="489"/>
      <c r="CE30" s="488"/>
      <c r="CF30" s="488"/>
      <c r="CG30" s="488"/>
      <c r="CH30" s="488"/>
      <c r="CI30" s="488"/>
      <c r="CJ30" s="488"/>
      <c r="CK30" s="488"/>
      <c r="CL30" s="488"/>
      <c r="CM30" s="488"/>
      <c r="CN30" s="489"/>
      <c r="CO30" s="488"/>
      <c r="CP30" s="488"/>
      <c r="CQ30" s="488"/>
      <c r="CR30" s="488"/>
      <c r="CS30" s="488"/>
      <c r="CT30" s="488"/>
      <c r="CU30" s="488"/>
      <c r="CV30" s="488"/>
      <c r="CW30" s="488"/>
      <c r="CX30" s="489"/>
      <c r="CY30" s="488"/>
      <c r="CZ30" s="488"/>
      <c r="DA30" s="488"/>
      <c r="DB30" s="488"/>
      <c r="DC30" s="488"/>
      <c r="DD30" s="488"/>
      <c r="DE30" s="488"/>
      <c r="DF30" s="488"/>
      <c r="DG30" s="488"/>
      <c r="DH30" s="489"/>
      <c r="DI30" s="488"/>
      <c r="DJ30" s="488"/>
      <c r="DK30" s="488"/>
      <c r="DL30" s="488"/>
      <c r="DM30" s="488"/>
      <c r="DN30" s="488"/>
      <c r="DO30" s="488"/>
      <c r="DP30" s="488"/>
      <c r="DQ30" s="488"/>
      <c r="DR30" s="489"/>
      <c r="DS30" s="488"/>
      <c r="DT30" s="488"/>
      <c r="DU30" s="488"/>
      <c r="DV30" s="488"/>
      <c r="DW30" s="488"/>
      <c r="DX30" s="488"/>
      <c r="DY30" s="488"/>
      <c r="DZ30" s="488"/>
      <c r="EA30" s="488"/>
      <c r="EB30" s="489"/>
      <c r="EC30" s="488"/>
      <c r="ED30" s="488"/>
      <c r="EE30" s="488"/>
      <c r="EF30" s="488"/>
      <c r="EG30" s="488"/>
      <c r="EH30" s="488"/>
      <c r="EI30" s="488"/>
      <c r="EJ30" s="488"/>
      <c r="EK30" s="488"/>
      <c r="EL30" s="489"/>
      <c r="EM30" s="488"/>
      <c r="EN30" s="488"/>
      <c r="EO30" s="488"/>
      <c r="EP30" s="488"/>
      <c r="EQ30" s="488"/>
      <c r="ER30" s="488"/>
      <c r="ES30" s="488"/>
      <c r="ET30" s="488"/>
      <c r="EU30" s="488"/>
      <c r="EV30" s="489"/>
    </row>
    <row r="31" spans="1:152" s="496" customFormat="1" ht="13.5" customHeight="1">
      <c r="A31" s="53"/>
      <c r="B31" s="489"/>
      <c r="C31" s="489"/>
      <c r="D31" s="489"/>
      <c r="E31" s="489"/>
      <c r="F31" s="489"/>
      <c r="G31" s="489"/>
      <c r="H31" s="489"/>
      <c r="I31" s="489"/>
      <c r="J31" s="489"/>
      <c r="K31" s="489"/>
      <c r="L31" s="489"/>
      <c r="M31" s="489"/>
      <c r="N31" s="489"/>
      <c r="O31" s="489"/>
      <c r="P31" s="489"/>
      <c r="Q31" s="489"/>
      <c r="R31" s="489"/>
      <c r="S31" s="489"/>
      <c r="T31" s="489"/>
      <c r="U31" s="489"/>
      <c r="V31" s="489"/>
      <c r="W31" s="488"/>
      <c r="X31" s="488"/>
      <c r="Y31" s="488"/>
      <c r="Z31" s="488"/>
      <c r="AA31" s="488"/>
      <c r="AB31" s="488"/>
      <c r="AC31" s="488"/>
      <c r="AD31" s="488"/>
      <c r="AE31" s="488"/>
      <c r="AF31" s="489"/>
      <c r="AG31" s="488"/>
      <c r="AH31" s="488"/>
      <c r="AI31" s="488"/>
      <c r="AJ31" s="488"/>
      <c r="AK31" s="488"/>
      <c r="AL31" s="488"/>
      <c r="AM31" s="488"/>
      <c r="AN31" s="488"/>
      <c r="AO31" s="488"/>
      <c r="AP31" s="489"/>
      <c r="AQ31" s="488"/>
      <c r="AR31" s="488"/>
      <c r="AS31" s="488"/>
      <c r="AT31" s="488"/>
      <c r="AU31" s="488"/>
      <c r="AV31" s="488"/>
      <c r="AW31" s="488"/>
      <c r="AX31" s="488"/>
      <c r="AY31" s="488"/>
      <c r="AZ31" s="489"/>
      <c r="BA31" s="488"/>
      <c r="BB31" s="488"/>
      <c r="BC31" s="488"/>
      <c r="BD31" s="488"/>
      <c r="BE31" s="488"/>
      <c r="BF31" s="488"/>
      <c r="BG31" s="488"/>
      <c r="BH31" s="488"/>
      <c r="BI31" s="488"/>
      <c r="BJ31" s="489"/>
      <c r="BK31" s="488"/>
      <c r="BL31" s="488"/>
      <c r="BM31" s="488"/>
      <c r="BN31" s="488"/>
      <c r="BO31" s="488"/>
      <c r="BP31" s="488"/>
      <c r="BQ31" s="488"/>
      <c r="BR31" s="488"/>
      <c r="BS31" s="488"/>
      <c r="BT31" s="489"/>
      <c r="BU31" s="488"/>
      <c r="BV31" s="488"/>
      <c r="BW31" s="488"/>
      <c r="BX31" s="488"/>
      <c r="BY31" s="488"/>
      <c r="BZ31" s="488"/>
      <c r="CA31" s="488"/>
      <c r="CB31" s="488"/>
      <c r="CC31" s="488"/>
      <c r="CD31" s="489"/>
      <c r="CE31" s="488"/>
      <c r="CF31" s="488"/>
      <c r="CG31" s="488"/>
      <c r="CH31" s="488"/>
      <c r="CI31" s="488"/>
      <c r="CJ31" s="488"/>
      <c r="CK31" s="488"/>
      <c r="CL31" s="488"/>
      <c r="CM31" s="488"/>
      <c r="CN31" s="489"/>
      <c r="CO31" s="488"/>
      <c r="CP31" s="488"/>
      <c r="CQ31" s="488"/>
      <c r="CR31" s="488"/>
      <c r="CS31" s="488"/>
      <c r="CT31" s="488"/>
      <c r="CU31" s="488"/>
      <c r="CV31" s="488"/>
      <c r="CW31" s="488"/>
      <c r="CX31" s="489"/>
      <c r="CY31" s="488"/>
      <c r="CZ31" s="488"/>
      <c r="DA31" s="488"/>
      <c r="DB31" s="488"/>
      <c r="DC31" s="488"/>
      <c r="DD31" s="488"/>
      <c r="DE31" s="488"/>
      <c r="DF31" s="488"/>
      <c r="DG31" s="488"/>
      <c r="DH31" s="489"/>
      <c r="DI31" s="488"/>
      <c r="DJ31" s="488"/>
      <c r="DK31" s="488"/>
      <c r="DL31" s="488"/>
      <c r="DM31" s="488"/>
      <c r="DN31" s="488"/>
      <c r="DO31" s="488"/>
      <c r="DP31" s="488"/>
      <c r="DQ31" s="488"/>
      <c r="DR31" s="489"/>
      <c r="DS31" s="488"/>
      <c r="DT31" s="488"/>
      <c r="DU31" s="488"/>
      <c r="DV31" s="488"/>
      <c r="DW31" s="488"/>
      <c r="DX31" s="488"/>
      <c r="DY31" s="488"/>
      <c r="DZ31" s="488"/>
      <c r="EA31" s="488"/>
      <c r="EB31" s="489"/>
      <c r="EC31" s="488"/>
      <c r="ED31" s="488"/>
      <c r="EE31" s="488"/>
      <c r="EF31" s="488"/>
      <c r="EG31" s="488"/>
      <c r="EH31" s="488"/>
      <c r="EI31" s="488"/>
      <c r="EJ31" s="488"/>
      <c r="EK31" s="488"/>
      <c r="EL31" s="489"/>
      <c r="EM31" s="488"/>
      <c r="EN31" s="488"/>
      <c r="EO31" s="488"/>
      <c r="EP31" s="488"/>
      <c r="EQ31" s="488"/>
      <c r="ER31" s="488"/>
      <c r="ES31" s="488"/>
      <c r="ET31" s="488"/>
      <c r="EU31" s="488"/>
      <c r="EV31" s="489"/>
    </row>
    <row r="32" spans="1:152" s="496" customFormat="1" ht="13.5" customHeight="1">
      <c r="A32" s="53"/>
      <c r="B32" s="489"/>
      <c r="C32" s="489"/>
      <c r="D32" s="489"/>
      <c r="E32" s="489"/>
      <c r="F32" s="489"/>
      <c r="G32" s="489"/>
      <c r="H32" s="489"/>
      <c r="I32" s="489"/>
      <c r="J32" s="489"/>
      <c r="K32" s="489"/>
      <c r="L32" s="489"/>
      <c r="M32" s="489"/>
      <c r="N32" s="489"/>
      <c r="O32" s="489"/>
      <c r="P32" s="489"/>
      <c r="Q32" s="489"/>
      <c r="R32" s="489"/>
      <c r="S32" s="489"/>
      <c r="T32" s="489"/>
      <c r="U32" s="489"/>
      <c r="V32" s="489"/>
      <c r="W32" s="488"/>
      <c r="X32" s="488"/>
      <c r="Y32" s="488"/>
      <c r="Z32" s="488"/>
      <c r="AA32" s="488"/>
      <c r="AB32" s="488"/>
      <c r="AC32" s="488"/>
      <c r="AD32" s="488"/>
      <c r="AE32" s="488"/>
      <c r="AF32" s="489"/>
      <c r="AG32" s="488"/>
      <c r="AH32" s="488"/>
      <c r="AI32" s="488"/>
      <c r="AJ32" s="488"/>
      <c r="AK32" s="488"/>
      <c r="AL32" s="488"/>
      <c r="AM32" s="488"/>
      <c r="AN32" s="488"/>
      <c r="AO32" s="488"/>
      <c r="AP32" s="489"/>
      <c r="AQ32" s="488"/>
      <c r="AR32" s="488"/>
      <c r="AS32" s="488"/>
      <c r="AT32" s="488"/>
      <c r="AU32" s="488"/>
      <c r="AV32" s="488"/>
      <c r="AW32" s="488"/>
      <c r="AX32" s="488"/>
      <c r="AY32" s="488"/>
      <c r="AZ32" s="489"/>
      <c r="BA32" s="488"/>
      <c r="BB32" s="488"/>
      <c r="BC32" s="488"/>
      <c r="BD32" s="488"/>
      <c r="BE32" s="488"/>
      <c r="BF32" s="488"/>
      <c r="BG32" s="488"/>
      <c r="BH32" s="488"/>
      <c r="BI32" s="488"/>
      <c r="BJ32" s="489"/>
      <c r="BK32" s="488"/>
      <c r="BL32" s="488"/>
      <c r="BM32" s="488"/>
      <c r="BN32" s="488"/>
      <c r="BO32" s="488"/>
      <c r="BP32" s="488"/>
      <c r="BQ32" s="488"/>
      <c r="BR32" s="488"/>
      <c r="BS32" s="488"/>
      <c r="BT32" s="489"/>
      <c r="BU32" s="488"/>
      <c r="BV32" s="488"/>
      <c r="BW32" s="488"/>
      <c r="BX32" s="488"/>
      <c r="BY32" s="488"/>
      <c r="BZ32" s="488"/>
      <c r="CA32" s="488"/>
      <c r="CB32" s="488"/>
      <c r="CC32" s="488"/>
      <c r="CD32" s="489"/>
      <c r="CE32" s="488"/>
      <c r="CF32" s="488"/>
      <c r="CG32" s="488"/>
      <c r="CH32" s="488"/>
      <c r="CI32" s="488"/>
      <c r="CJ32" s="488"/>
      <c r="CK32" s="488"/>
      <c r="CL32" s="488"/>
      <c r="CM32" s="488"/>
      <c r="CN32" s="489"/>
      <c r="CO32" s="488"/>
      <c r="CP32" s="488"/>
      <c r="CQ32" s="488"/>
      <c r="CR32" s="488"/>
      <c r="CS32" s="488"/>
      <c r="CT32" s="488"/>
      <c r="CU32" s="488"/>
      <c r="CV32" s="488"/>
      <c r="CW32" s="488"/>
      <c r="CX32" s="489"/>
      <c r="CY32" s="488"/>
      <c r="CZ32" s="488"/>
      <c r="DA32" s="488"/>
      <c r="DB32" s="488"/>
      <c r="DC32" s="488"/>
      <c r="DD32" s="488"/>
      <c r="DE32" s="488"/>
      <c r="DF32" s="488"/>
      <c r="DG32" s="488"/>
      <c r="DH32" s="489"/>
      <c r="DI32" s="488"/>
      <c r="DJ32" s="488"/>
      <c r="DK32" s="488"/>
      <c r="DL32" s="488"/>
      <c r="DM32" s="488"/>
      <c r="DN32" s="488"/>
      <c r="DO32" s="488"/>
      <c r="DP32" s="488"/>
      <c r="DQ32" s="488"/>
      <c r="DR32" s="489"/>
      <c r="DS32" s="488"/>
      <c r="DT32" s="488"/>
      <c r="DU32" s="488"/>
      <c r="DV32" s="488"/>
      <c r="DW32" s="488"/>
      <c r="DX32" s="488"/>
      <c r="DY32" s="488"/>
      <c r="DZ32" s="488"/>
      <c r="EA32" s="488"/>
      <c r="EB32" s="489"/>
      <c r="EC32" s="488"/>
      <c r="ED32" s="488"/>
      <c r="EE32" s="488"/>
      <c r="EF32" s="488"/>
      <c r="EG32" s="488"/>
      <c r="EH32" s="488"/>
      <c r="EI32" s="488"/>
      <c r="EJ32" s="488"/>
      <c r="EK32" s="488"/>
      <c r="EL32" s="489"/>
      <c r="EM32" s="488"/>
      <c r="EN32" s="488"/>
      <c r="EO32" s="488"/>
      <c r="EP32" s="488"/>
      <c r="EQ32" s="488"/>
      <c r="ER32" s="488"/>
      <c r="ES32" s="488"/>
      <c r="ET32" s="488"/>
      <c r="EU32" s="488"/>
      <c r="EV32" s="489"/>
    </row>
    <row r="33" spans="1:152" s="496" customFormat="1" ht="13.5" customHeight="1">
      <c r="A33" s="53"/>
      <c r="B33" s="489"/>
      <c r="C33" s="489"/>
      <c r="D33" s="489"/>
      <c r="E33" s="489"/>
      <c r="F33" s="489"/>
      <c r="G33" s="489"/>
      <c r="H33" s="489"/>
      <c r="I33" s="489"/>
      <c r="J33" s="489"/>
      <c r="K33" s="489"/>
      <c r="L33" s="489"/>
      <c r="M33" s="489"/>
      <c r="N33" s="489"/>
      <c r="O33" s="489"/>
      <c r="P33" s="489"/>
      <c r="Q33" s="489"/>
      <c r="R33" s="489"/>
      <c r="S33" s="489"/>
      <c r="T33" s="489"/>
      <c r="U33" s="489"/>
      <c r="V33" s="489"/>
      <c r="W33" s="488"/>
      <c r="X33" s="488"/>
      <c r="Y33" s="488"/>
      <c r="Z33" s="488"/>
      <c r="AA33" s="488"/>
      <c r="AB33" s="488"/>
      <c r="AC33" s="488"/>
      <c r="AD33" s="488"/>
      <c r="AE33" s="488"/>
      <c r="AF33" s="489"/>
      <c r="AG33" s="488"/>
      <c r="AH33" s="488"/>
      <c r="AI33" s="488"/>
      <c r="AJ33" s="488"/>
      <c r="AK33" s="488"/>
      <c r="AL33" s="488"/>
      <c r="AM33" s="488"/>
      <c r="AN33" s="488"/>
      <c r="AO33" s="488"/>
      <c r="AP33" s="489"/>
      <c r="AQ33" s="488"/>
      <c r="AR33" s="488"/>
      <c r="AS33" s="488"/>
      <c r="AT33" s="488"/>
      <c r="AU33" s="488"/>
      <c r="AV33" s="488"/>
      <c r="AW33" s="488"/>
      <c r="AX33" s="488"/>
      <c r="AY33" s="488"/>
      <c r="AZ33" s="489"/>
      <c r="BA33" s="488"/>
      <c r="BB33" s="488"/>
      <c r="BC33" s="488"/>
      <c r="BD33" s="488"/>
      <c r="BE33" s="488"/>
      <c r="BF33" s="488"/>
      <c r="BG33" s="488"/>
      <c r="BH33" s="488"/>
      <c r="BI33" s="488"/>
      <c r="BJ33" s="489"/>
      <c r="BK33" s="488"/>
      <c r="BL33" s="488"/>
      <c r="BM33" s="488"/>
      <c r="BN33" s="488"/>
      <c r="BO33" s="488"/>
      <c r="BP33" s="488"/>
      <c r="BQ33" s="488"/>
      <c r="BR33" s="488"/>
      <c r="BS33" s="488"/>
      <c r="BT33" s="489"/>
      <c r="BU33" s="488"/>
      <c r="BV33" s="488"/>
      <c r="BW33" s="488"/>
      <c r="BX33" s="488"/>
      <c r="BY33" s="488"/>
      <c r="BZ33" s="488"/>
      <c r="CA33" s="488"/>
      <c r="CB33" s="488"/>
      <c r="CC33" s="488"/>
      <c r="CD33" s="489"/>
      <c r="CE33" s="488"/>
      <c r="CF33" s="488"/>
      <c r="CG33" s="488"/>
      <c r="CH33" s="488"/>
      <c r="CI33" s="488"/>
      <c r="CJ33" s="488"/>
      <c r="CK33" s="488"/>
      <c r="CL33" s="488"/>
      <c r="CM33" s="488"/>
      <c r="CN33" s="489"/>
      <c r="CO33" s="488"/>
      <c r="CP33" s="488"/>
      <c r="CQ33" s="488"/>
      <c r="CR33" s="488"/>
      <c r="CS33" s="488"/>
      <c r="CT33" s="488"/>
      <c r="CU33" s="488"/>
      <c r="CV33" s="488"/>
      <c r="CW33" s="488"/>
      <c r="CX33" s="489"/>
      <c r="CY33" s="488"/>
      <c r="CZ33" s="488"/>
      <c r="DA33" s="488"/>
      <c r="DB33" s="488"/>
      <c r="DC33" s="488"/>
      <c r="DD33" s="488"/>
      <c r="DE33" s="488"/>
      <c r="DF33" s="488"/>
      <c r="DG33" s="488"/>
      <c r="DH33" s="489"/>
      <c r="DI33" s="488"/>
      <c r="DJ33" s="488"/>
      <c r="DK33" s="488"/>
      <c r="DL33" s="488"/>
      <c r="DM33" s="488"/>
      <c r="DN33" s="488"/>
      <c r="DO33" s="488"/>
      <c r="DP33" s="488"/>
      <c r="DQ33" s="488"/>
      <c r="DR33" s="489"/>
      <c r="DS33" s="488"/>
      <c r="DT33" s="488"/>
      <c r="DU33" s="488"/>
      <c r="DV33" s="488"/>
      <c r="DW33" s="488"/>
      <c r="DX33" s="488"/>
      <c r="DY33" s="488"/>
      <c r="DZ33" s="488"/>
      <c r="EA33" s="488"/>
      <c r="EB33" s="489"/>
      <c r="EC33" s="488"/>
      <c r="ED33" s="488"/>
      <c r="EE33" s="488"/>
      <c r="EF33" s="488"/>
      <c r="EG33" s="488"/>
      <c r="EH33" s="488"/>
      <c r="EI33" s="488"/>
      <c r="EJ33" s="488"/>
      <c r="EK33" s="488"/>
      <c r="EL33" s="489"/>
      <c r="EM33" s="488"/>
      <c r="EN33" s="488"/>
      <c r="EO33" s="488"/>
      <c r="EP33" s="488"/>
      <c r="EQ33" s="488"/>
      <c r="ER33" s="488"/>
      <c r="ES33" s="488"/>
      <c r="ET33" s="488"/>
      <c r="EU33" s="488"/>
      <c r="EV33" s="489"/>
    </row>
    <row r="34" spans="1:152" s="496" customFormat="1" ht="13.5" customHeight="1">
      <c r="A34" s="53"/>
      <c r="B34" s="489"/>
      <c r="C34" s="489"/>
      <c r="D34" s="489"/>
      <c r="E34" s="489"/>
      <c r="F34" s="489"/>
      <c r="G34" s="489"/>
      <c r="H34" s="489"/>
      <c r="I34" s="489"/>
      <c r="J34" s="489"/>
      <c r="K34" s="489"/>
      <c r="L34" s="489"/>
      <c r="M34" s="489"/>
      <c r="N34" s="489"/>
      <c r="O34" s="489"/>
      <c r="P34" s="489"/>
      <c r="Q34" s="489"/>
      <c r="R34" s="489"/>
      <c r="S34" s="489"/>
      <c r="T34" s="489"/>
      <c r="U34" s="489"/>
      <c r="V34" s="489"/>
      <c r="W34" s="488"/>
      <c r="X34" s="488"/>
      <c r="Y34" s="488"/>
      <c r="Z34" s="488"/>
      <c r="AA34" s="488"/>
      <c r="AB34" s="488"/>
      <c r="AC34" s="488"/>
      <c r="AD34" s="488"/>
      <c r="AE34" s="488"/>
      <c r="AF34" s="489"/>
      <c r="AG34" s="488"/>
      <c r="AH34" s="488"/>
      <c r="AI34" s="488"/>
      <c r="AJ34" s="488"/>
      <c r="AK34" s="488"/>
      <c r="AL34" s="488"/>
      <c r="AM34" s="488"/>
      <c r="AN34" s="488"/>
      <c r="AO34" s="488"/>
      <c r="AP34" s="489"/>
      <c r="AQ34" s="488"/>
      <c r="AR34" s="488"/>
      <c r="AS34" s="488"/>
      <c r="AT34" s="488"/>
      <c r="AU34" s="488"/>
      <c r="AV34" s="488"/>
      <c r="AW34" s="488"/>
      <c r="AX34" s="488"/>
      <c r="AY34" s="488"/>
      <c r="AZ34" s="497"/>
      <c r="BA34" s="488"/>
      <c r="BB34" s="488"/>
      <c r="BC34" s="488"/>
      <c r="BD34" s="488"/>
      <c r="BE34" s="488"/>
      <c r="BF34" s="488"/>
      <c r="BG34" s="488"/>
      <c r="BH34" s="488"/>
      <c r="BI34" s="488"/>
      <c r="BJ34" s="489"/>
      <c r="BK34" s="488"/>
      <c r="BL34" s="488"/>
      <c r="BM34" s="488"/>
      <c r="BN34" s="488"/>
      <c r="BO34" s="488"/>
      <c r="BP34" s="488"/>
      <c r="BQ34" s="488"/>
      <c r="BR34" s="488"/>
      <c r="BS34" s="488"/>
      <c r="BT34" s="489"/>
      <c r="BU34" s="488"/>
      <c r="BV34" s="488"/>
      <c r="BW34" s="488"/>
      <c r="BX34" s="488"/>
      <c r="BY34" s="488"/>
      <c r="BZ34" s="488"/>
      <c r="CA34" s="488"/>
      <c r="CB34" s="488"/>
      <c r="CC34" s="488"/>
      <c r="CD34" s="489"/>
      <c r="CE34" s="488"/>
      <c r="CF34" s="488"/>
      <c r="CG34" s="488"/>
      <c r="CH34" s="488"/>
      <c r="CI34" s="488"/>
      <c r="CJ34" s="488"/>
      <c r="CK34" s="488"/>
      <c r="CL34" s="488"/>
      <c r="CM34" s="488"/>
      <c r="CN34" s="489"/>
      <c r="CO34" s="488"/>
      <c r="CP34" s="488"/>
      <c r="CQ34" s="488"/>
      <c r="CR34" s="488"/>
      <c r="CS34" s="488"/>
      <c r="CT34" s="488"/>
      <c r="CU34" s="488"/>
      <c r="CV34" s="488"/>
      <c r="CW34" s="488"/>
      <c r="CX34" s="489"/>
      <c r="CY34" s="488"/>
      <c r="CZ34" s="488"/>
      <c r="DA34" s="488"/>
      <c r="DB34" s="488"/>
      <c r="DC34" s="488"/>
      <c r="DD34" s="488"/>
      <c r="DE34" s="488"/>
      <c r="DF34" s="488"/>
      <c r="DG34" s="488"/>
      <c r="DH34" s="489"/>
      <c r="DI34" s="488"/>
      <c r="DJ34" s="488"/>
      <c r="DK34" s="488"/>
      <c r="DL34" s="488"/>
      <c r="DM34" s="488"/>
      <c r="DN34" s="488"/>
      <c r="DO34" s="488"/>
      <c r="DP34" s="488"/>
      <c r="DQ34" s="488"/>
      <c r="DR34" s="489"/>
      <c r="DS34" s="488"/>
      <c r="DT34" s="488"/>
      <c r="DU34" s="488"/>
      <c r="DV34" s="488"/>
      <c r="DW34" s="488"/>
      <c r="DX34" s="488"/>
      <c r="DY34" s="488"/>
      <c r="DZ34" s="488"/>
      <c r="EA34" s="488"/>
      <c r="EB34" s="489"/>
      <c r="EC34" s="488"/>
      <c r="ED34" s="488"/>
      <c r="EE34" s="488"/>
      <c r="EF34" s="488"/>
      <c r="EG34" s="488"/>
      <c r="EH34" s="488"/>
      <c r="EI34" s="488"/>
      <c r="EJ34" s="488"/>
      <c r="EK34" s="488"/>
      <c r="EL34" s="489"/>
      <c r="EM34" s="488"/>
      <c r="EN34" s="488"/>
      <c r="EO34" s="488"/>
      <c r="EP34" s="488"/>
      <c r="EQ34" s="488"/>
      <c r="ER34" s="488"/>
      <c r="ES34" s="488"/>
      <c r="ET34" s="488"/>
      <c r="EU34" s="488"/>
      <c r="EV34" s="489"/>
    </row>
    <row r="35" spans="1:152" s="496" customFormat="1" ht="13.5" customHeight="1">
      <c r="A35" s="69" t="s">
        <v>52</v>
      </c>
      <c r="D35" s="1263" t="s">
        <v>13</v>
      </c>
      <c r="E35" s="1263"/>
      <c r="F35" s="1263"/>
      <c r="G35" s="1263"/>
      <c r="AF35" s="497"/>
      <c r="AP35" s="497"/>
      <c r="AZ35" s="497"/>
      <c r="BA35" s="494"/>
      <c r="BB35" s="494"/>
      <c r="BC35" s="494"/>
      <c r="BD35" s="494"/>
      <c r="BE35" s="494"/>
      <c r="BF35" s="494"/>
      <c r="BG35" s="494"/>
      <c r="BH35" s="494"/>
      <c r="BI35" s="494"/>
      <c r="BJ35" s="497"/>
      <c r="BK35" s="494"/>
      <c r="BL35" s="494"/>
      <c r="BM35" s="494"/>
      <c r="BN35" s="494"/>
      <c r="BO35" s="494"/>
      <c r="BP35" s="494"/>
      <c r="BQ35" s="494"/>
      <c r="BR35" s="494"/>
      <c r="BS35" s="494"/>
      <c r="BT35" s="497"/>
      <c r="BU35" s="494"/>
      <c r="BV35" s="494"/>
      <c r="BW35" s="494"/>
      <c r="BX35" s="494"/>
      <c r="BY35" s="494"/>
      <c r="BZ35" s="494"/>
      <c r="CA35" s="494"/>
      <c r="CB35" s="494"/>
      <c r="CC35" s="494"/>
      <c r="CD35" s="497"/>
      <c r="CE35" s="494"/>
      <c r="CF35" s="494"/>
      <c r="CG35" s="494"/>
      <c r="CH35" s="494"/>
      <c r="CI35" s="494"/>
      <c r="CJ35" s="494"/>
      <c r="CK35" s="494"/>
      <c r="CL35" s="494"/>
      <c r="CM35" s="494"/>
      <c r="CN35" s="497"/>
      <c r="CO35" s="494"/>
      <c r="CP35" s="494"/>
      <c r="CQ35" s="494"/>
      <c r="CR35" s="494"/>
      <c r="CS35" s="494"/>
      <c r="CT35" s="494"/>
      <c r="CU35" s="494"/>
      <c r="CV35" s="494"/>
      <c r="CW35" s="494"/>
      <c r="CX35" s="497"/>
      <c r="CY35" s="494"/>
      <c r="CZ35" s="494"/>
      <c r="DA35" s="494"/>
      <c r="DB35" s="494"/>
      <c r="DC35" s="494"/>
      <c r="DD35" s="494"/>
      <c r="DE35" s="494"/>
      <c r="DF35" s="494"/>
      <c r="DG35" s="494"/>
      <c r="DH35" s="497"/>
      <c r="DI35" s="494"/>
      <c r="DJ35" s="494"/>
      <c r="DK35" s="494"/>
      <c r="DL35" s="494"/>
      <c r="DM35" s="494"/>
      <c r="DN35" s="494"/>
      <c r="DO35" s="494"/>
      <c r="DP35" s="494"/>
      <c r="DQ35" s="494"/>
      <c r="DR35" s="497"/>
      <c r="DS35" s="494"/>
      <c r="DT35" s="494"/>
      <c r="DU35" s="494"/>
      <c r="DV35" s="494"/>
      <c r="DW35" s="494"/>
      <c r="DX35" s="494"/>
      <c r="DY35" s="494"/>
      <c r="DZ35" s="494"/>
      <c r="EA35" s="494"/>
      <c r="EB35" s="490"/>
      <c r="EC35" s="494"/>
      <c r="ED35" s="494"/>
      <c r="EE35" s="494"/>
      <c r="EF35" s="494"/>
      <c r="EG35" s="494"/>
      <c r="EH35" s="494"/>
      <c r="EI35" s="494"/>
      <c r="EJ35" s="494"/>
      <c r="EK35" s="494"/>
      <c r="EL35" s="490"/>
      <c r="EM35" s="494"/>
      <c r="EN35" s="494"/>
      <c r="EO35" s="494"/>
      <c r="EP35" s="494"/>
      <c r="EQ35" s="494"/>
      <c r="ER35" s="494"/>
      <c r="ES35" s="494"/>
      <c r="ET35" s="494"/>
      <c r="EU35" s="494"/>
      <c r="EV35" s="490"/>
    </row>
    <row r="36" spans="1:152" s="485" customFormat="1" ht="13.5" customHeight="1">
      <c r="A36" s="483" t="s">
        <v>43</v>
      </c>
      <c r="B36" s="484">
        <v>0</v>
      </c>
      <c r="C36" s="484">
        <v>0</v>
      </c>
      <c r="D36" s="484">
        <v>0</v>
      </c>
      <c r="E36" s="484">
        <v>0</v>
      </c>
      <c r="F36" s="1271">
        <v>6</v>
      </c>
      <c r="G36" s="484">
        <v>0</v>
      </c>
      <c r="H36" s="484">
        <v>0</v>
      </c>
      <c r="I36" s="484">
        <v>0</v>
      </c>
      <c r="J36" s="484">
        <v>0</v>
      </c>
      <c r="K36" s="1271">
        <v>0</v>
      </c>
      <c r="L36" s="484">
        <v>0</v>
      </c>
      <c r="M36" s="484">
        <v>0</v>
      </c>
      <c r="N36" s="484">
        <v>0</v>
      </c>
      <c r="O36" s="484">
        <v>0</v>
      </c>
      <c r="P36" s="1271">
        <v>0</v>
      </c>
      <c r="Q36" s="484">
        <v>0</v>
      </c>
      <c r="R36" s="484">
        <v>0</v>
      </c>
      <c r="S36" s="484">
        <v>0</v>
      </c>
      <c r="T36" s="484">
        <v>0</v>
      </c>
      <c r="U36" s="1271">
        <v>0</v>
      </c>
      <c r="V36" s="484">
        <v>0</v>
      </c>
      <c r="W36" s="484">
        <v>0</v>
      </c>
      <c r="X36" s="484">
        <v>0</v>
      </c>
      <c r="Y36" s="484">
        <v>0</v>
      </c>
      <c r="Z36" s="1271">
        <v>0</v>
      </c>
      <c r="AA36" s="484">
        <v>0</v>
      </c>
      <c r="AB36" s="484">
        <v>0</v>
      </c>
      <c r="AC36" s="484">
        <v>0</v>
      </c>
      <c r="AD36" s="484">
        <v>0</v>
      </c>
      <c r="AE36" s="1271">
        <v>0</v>
      </c>
      <c r="AF36" s="484">
        <v>0</v>
      </c>
      <c r="AG36" s="484">
        <v>0</v>
      </c>
      <c r="AH36" s="484">
        <v>0</v>
      </c>
      <c r="AI36" s="484">
        <v>0</v>
      </c>
      <c r="AJ36" s="1271">
        <v>0</v>
      </c>
      <c r="AK36" s="484">
        <v>0</v>
      </c>
      <c r="AL36" s="484">
        <v>0</v>
      </c>
      <c r="AM36" s="484">
        <v>0</v>
      </c>
      <c r="AN36" s="484">
        <v>0</v>
      </c>
      <c r="AO36" s="1271">
        <v>0</v>
      </c>
      <c r="AP36" s="484">
        <v>0</v>
      </c>
      <c r="AQ36" s="484">
        <v>0</v>
      </c>
      <c r="AR36" s="484">
        <v>0</v>
      </c>
      <c r="AS36" s="484">
        <v>0</v>
      </c>
      <c r="AT36" s="1271">
        <v>0</v>
      </c>
      <c r="AU36" s="484">
        <v>0</v>
      </c>
      <c r="AV36" s="484">
        <v>0</v>
      </c>
      <c r="AW36" s="484">
        <v>0</v>
      </c>
      <c r="AX36" s="484">
        <v>0</v>
      </c>
      <c r="AY36" s="1271">
        <v>0</v>
      </c>
      <c r="AZ36" s="484">
        <v>0</v>
      </c>
      <c r="BA36" s="484">
        <v>0</v>
      </c>
      <c r="BB36" s="484">
        <v>0</v>
      </c>
      <c r="BC36" s="484">
        <v>0</v>
      </c>
      <c r="BD36" s="1271">
        <v>0</v>
      </c>
      <c r="BE36" s="484">
        <v>0</v>
      </c>
      <c r="BF36" s="484">
        <v>0</v>
      </c>
      <c r="BG36" s="484">
        <v>0</v>
      </c>
      <c r="BH36" s="484">
        <v>0</v>
      </c>
      <c r="BI36" s="1271">
        <v>0</v>
      </c>
      <c r="BJ36" s="484">
        <v>0</v>
      </c>
      <c r="BK36" s="484">
        <v>0</v>
      </c>
      <c r="BL36" s="484">
        <v>0</v>
      </c>
      <c r="BM36" s="484">
        <v>0</v>
      </c>
      <c r="BN36" s="484">
        <v>0</v>
      </c>
      <c r="BO36" s="484">
        <v>0</v>
      </c>
      <c r="BP36" s="484">
        <v>0</v>
      </c>
      <c r="BQ36" s="484">
        <v>0</v>
      </c>
      <c r="BR36" s="484">
        <v>0</v>
      </c>
      <c r="BS36" s="484">
        <v>0</v>
      </c>
      <c r="BT36" s="484">
        <v>0</v>
      </c>
      <c r="BU36" s="484">
        <v>0</v>
      </c>
      <c r="BV36" s="484">
        <v>0</v>
      </c>
      <c r="BW36" s="484">
        <v>0</v>
      </c>
      <c r="BX36" s="484">
        <v>0</v>
      </c>
      <c r="BY36" s="484">
        <v>0</v>
      </c>
      <c r="BZ36" s="484">
        <v>0</v>
      </c>
      <c r="CA36" s="484">
        <v>0</v>
      </c>
      <c r="CB36" s="484">
        <v>0</v>
      </c>
      <c r="CC36" s="484">
        <v>0</v>
      </c>
      <c r="CD36" s="484">
        <v>0</v>
      </c>
      <c r="CE36" s="484">
        <v>0</v>
      </c>
      <c r="CF36" s="484">
        <v>0</v>
      </c>
      <c r="CG36" s="484">
        <v>0</v>
      </c>
      <c r="CH36" s="484">
        <v>0</v>
      </c>
      <c r="CI36" s="484">
        <v>0</v>
      </c>
      <c r="CJ36" s="484">
        <v>0</v>
      </c>
      <c r="CK36" s="484">
        <v>0</v>
      </c>
      <c r="CL36" s="484">
        <v>0</v>
      </c>
      <c r="CM36" s="484">
        <v>0</v>
      </c>
      <c r="CN36" s="484">
        <v>0</v>
      </c>
      <c r="CO36" s="484">
        <v>0</v>
      </c>
      <c r="CP36" s="484">
        <v>0</v>
      </c>
      <c r="CQ36" s="484">
        <v>0</v>
      </c>
      <c r="CR36" s="484">
        <v>0</v>
      </c>
      <c r="CS36" s="484">
        <v>0</v>
      </c>
      <c r="CT36" s="484">
        <v>0</v>
      </c>
      <c r="CU36" s="484">
        <v>0</v>
      </c>
      <c r="CV36" s="484">
        <v>0</v>
      </c>
      <c r="CW36" s="484">
        <v>0</v>
      </c>
      <c r="CX36" s="484">
        <v>0</v>
      </c>
      <c r="CY36" s="484">
        <v>0</v>
      </c>
      <c r="CZ36" s="484">
        <v>0</v>
      </c>
      <c r="DA36" s="484">
        <v>0</v>
      </c>
      <c r="DB36" s="484">
        <v>0</v>
      </c>
      <c r="DC36" s="484">
        <v>0</v>
      </c>
      <c r="DD36" s="484">
        <v>0</v>
      </c>
      <c r="DE36" s="484">
        <v>0</v>
      </c>
      <c r="DF36" s="484">
        <v>0</v>
      </c>
      <c r="DG36" s="484">
        <v>0</v>
      </c>
      <c r="DH36" s="484">
        <v>0</v>
      </c>
      <c r="DI36" s="484">
        <v>0</v>
      </c>
      <c r="DJ36" s="484">
        <v>0</v>
      </c>
      <c r="DK36" s="484">
        <v>0</v>
      </c>
      <c r="DL36" s="484">
        <v>0</v>
      </c>
      <c r="DM36" s="484">
        <v>0</v>
      </c>
      <c r="DN36" s="484">
        <v>0</v>
      </c>
      <c r="DO36" s="484">
        <v>0</v>
      </c>
      <c r="DP36" s="484">
        <v>0</v>
      </c>
      <c r="DQ36" s="484">
        <v>0</v>
      </c>
      <c r="DR36" s="484">
        <v>0</v>
      </c>
      <c r="DS36" s="484">
        <v>0</v>
      </c>
      <c r="DT36" s="484">
        <v>0</v>
      </c>
      <c r="DU36" s="484">
        <v>0</v>
      </c>
      <c r="DV36" s="484">
        <v>0</v>
      </c>
      <c r="DW36" s="484">
        <v>0</v>
      </c>
      <c r="DX36" s="484">
        <v>0</v>
      </c>
      <c r="DY36" s="484">
        <v>0</v>
      </c>
      <c r="DZ36" s="484">
        <v>0</v>
      </c>
      <c r="EA36" s="484">
        <v>0</v>
      </c>
      <c r="EB36" s="484">
        <v>0</v>
      </c>
      <c r="EC36" s="484">
        <v>0</v>
      </c>
      <c r="ED36" s="484">
        <v>0</v>
      </c>
      <c r="EE36" s="484">
        <v>0</v>
      </c>
      <c r="EF36" s="484">
        <v>0</v>
      </c>
      <c r="EG36" s="484">
        <v>0</v>
      </c>
      <c r="EH36" s="484">
        <v>0</v>
      </c>
      <c r="EI36" s="484">
        <v>0</v>
      </c>
      <c r="EJ36" s="484">
        <v>0</v>
      </c>
      <c r="EK36" s="484">
        <v>0</v>
      </c>
      <c r="EL36" s="484">
        <v>0</v>
      </c>
      <c r="EM36" s="484">
        <v>0</v>
      </c>
      <c r="EN36" s="484">
        <v>0</v>
      </c>
      <c r="EO36" s="484">
        <v>0</v>
      </c>
      <c r="EP36" s="484">
        <v>0</v>
      </c>
      <c r="EQ36" s="484">
        <v>0</v>
      </c>
      <c r="ER36" s="484">
        <v>0</v>
      </c>
      <c r="ES36" s="484">
        <v>0</v>
      </c>
      <c r="ET36" s="484">
        <v>0</v>
      </c>
      <c r="EU36" s="484">
        <v>0</v>
      </c>
      <c r="EV36" s="484">
        <v>0</v>
      </c>
    </row>
    <row r="37" spans="1:152" s="485" customFormat="1" ht="13.5" customHeight="1">
      <c r="A37" s="6" t="s">
        <v>7</v>
      </c>
      <c r="B37" s="1274">
        <v>10.5</v>
      </c>
      <c r="C37" s="1274">
        <v>10.5</v>
      </c>
      <c r="D37" s="1274">
        <v>10.5</v>
      </c>
      <c r="E37" s="1274">
        <v>10.5</v>
      </c>
      <c r="F37" s="1274">
        <v>10.5</v>
      </c>
      <c r="G37" s="1274">
        <v>10.5</v>
      </c>
      <c r="H37" s="1274">
        <v>10.5</v>
      </c>
      <c r="I37" s="1274">
        <v>10.5</v>
      </c>
      <c r="J37" s="1274">
        <v>10.5</v>
      </c>
      <c r="K37" s="1274">
        <v>10.5</v>
      </c>
      <c r="L37" s="1274">
        <v>10.5</v>
      </c>
      <c r="M37" s="1274">
        <v>10.5</v>
      </c>
      <c r="N37" s="1274">
        <v>10.5</v>
      </c>
      <c r="O37" s="1274">
        <v>10.5</v>
      </c>
      <c r="P37" s="1274">
        <v>10.5</v>
      </c>
      <c r="Q37" s="1274">
        <v>10.5</v>
      </c>
      <c r="R37" s="1274">
        <v>10.5</v>
      </c>
      <c r="S37" s="1274">
        <v>10.5</v>
      </c>
      <c r="T37" s="1274">
        <v>10.5</v>
      </c>
      <c r="U37" s="1274">
        <v>10.5</v>
      </c>
      <c r="V37" s="1271">
        <v>10.5</v>
      </c>
      <c r="W37" s="1274">
        <v>10.33</v>
      </c>
      <c r="X37" s="1274">
        <v>10.16</v>
      </c>
      <c r="Y37" s="1274">
        <v>9.99</v>
      </c>
      <c r="Z37" s="1274">
        <v>9.82</v>
      </c>
      <c r="AA37" s="1274">
        <v>9.65</v>
      </c>
      <c r="AB37" s="1274">
        <v>9.48</v>
      </c>
      <c r="AC37" s="1274">
        <v>9.31</v>
      </c>
      <c r="AD37" s="1274">
        <v>9.14</v>
      </c>
      <c r="AE37" s="1274">
        <v>8.97</v>
      </c>
      <c r="AF37" s="1271">
        <v>8.8</v>
      </c>
      <c r="AG37" s="1274">
        <v>8.67</v>
      </c>
      <c r="AH37" s="1274">
        <v>8.54</v>
      </c>
      <c r="AI37" s="1274">
        <v>8.41</v>
      </c>
      <c r="AJ37" s="1274">
        <v>8.28</v>
      </c>
      <c r="AK37" s="1274">
        <v>8.15</v>
      </c>
      <c r="AL37" s="1274">
        <v>8.02</v>
      </c>
      <c r="AM37" s="1274">
        <v>7.89</v>
      </c>
      <c r="AN37" s="1274">
        <v>7.76</v>
      </c>
      <c r="AO37" s="1274">
        <v>7.63</v>
      </c>
      <c r="AP37" s="1271">
        <v>7.5</v>
      </c>
      <c r="AQ37" s="1274">
        <v>7.33</v>
      </c>
      <c r="AR37" s="1274">
        <v>7.16</v>
      </c>
      <c r="AS37" s="1274">
        <v>6.99</v>
      </c>
      <c r="AT37" s="1274">
        <v>6.82</v>
      </c>
      <c r="AU37" s="1274">
        <v>6.65</v>
      </c>
      <c r="AV37" s="1274">
        <v>6.48</v>
      </c>
      <c r="AW37" s="1274">
        <v>6.31</v>
      </c>
      <c r="AX37" s="1274">
        <v>6.14</v>
      </c>
      <c r="AY37" s="1274">
        <v>5.97</v>
      </c>
      <c r="AZ37" s="1271">
        <v>5.8</v>
      </c>
      <c r="BA37" s="1274">
        <v>5.61</v>
      </c>
      <c r="BB37" s="1274">
        <v>5.42</v>
      </c>
      <c r="BC37" s="1274">
        <v>5.23</v>
      </c>
      <c r="BD37" s="1274">
        <v>5.04</v>
      </c>
      <c r="BE37" s="1274">
        <v>4.85</v>
      </c>
      <c r="BF37" s="1274">
        <v>4.66</v>
      </c>
      <c r="BG37" s="1274">
        <v>4.47</v>
      </c>
      <c r="BH37" s="1274">
        <v>4.28</v>
      </c>
      <c r="BI37" s="1274">
        <v>4.09</v>
      </c>
      <c r="BJ37" s="1271">
        <v>3.9</v>
      </c>
      <c r="BK37" s="1274">
        <v>3.78</v>
      </c>
      <c r="BL37" s="1274">
        <v>3.66</v>
      </c>
      <c r="BM37" s="1274">
        <v>3.54</v>
      </c>
      <c r="BN37" s="1274">
        <v>3.42</v>
      </c>
      <c r="BO37" s="1274">
        <v>3.3</v>
      </c>
      <c r="BP37" s="1274">
        <v>3.18</v>
      </c>
      <c r="BQ37" s="1274">
        <v>3.06</v>
      </c>
      <c r="BR37" s="1274">
        <v>2.94</v>
      </c>
      <c r="BS37" s="1274">
        <v>2.82</v>
      </c>
      <c r="BT37" s="1271">
        <v>2.7</v>
      </c>
      <c r="BU37" s="1274">
        <v>0</v>
      </c>
      <c r="BV37" s="1274">
        <v>0</v>
      </c>
      <c r="BW37" s="1274">
        <v>0</v>
      </c>
      <c r="BX37" s="1274">
        <v>0</v>
      </c>
      <c r="BY37" s="1274">
        <v>0</v>
      </c>
      <c r="BZ37" s="1274">
        <v>0</v>
      </c>
      <c r="CA37" s="1274">
        <v>0</v>
      </c>
      <c r="CB37" s="1274">
        <v>0</v>
      </c>
      <c r="CC37" s="1274">
        <v>0</v>
      </c>
      <c r="CD37" s="1271">
        <v>0</v>
      </c>
      <c r="CE37" s="1274">
        <v>0</v>
      </c>
      <c r="CF37" s="1274">
        <v>0</v>
      </c>
      <c r="CG37" s="1274">
        <v>0</v>
      </c>
      <c r="CH37" s="1274">
        <v>0</v>
      </c>
      <c r="CI37" s="1274">
        <v>0</v>
      </c>
      <c r="CJ37" s="1274">
        <v>0</v>
      </c>
      <c r="CK37" s="1274">
        <v>0</v>
      </c>
      <c r="CL37" s="1274">
        <v>0</v>
      </c>
      <c r="CM37" s="1274">
        <v>0</v>
      </c>
      <c r="CN37" s="1271">
        <v>0</v>
      </c>
      <c r="CO37" s="1274">
        <v>0</v>
      </c>
      <c r="CP37" s="1274">
        <v>0</v>
      </c>
      <c r="CQ37" s="1274">
        <v>0</v>
      </c>
      <c r="CR37" s="1274">
        <v>0</v>
      </c>
      <c r="CS37" s="1274">
        <v>0</v>
      </c>
      <c r="CT37" s="1274">
        <v>0</v>
      </c>
      <c r="CU37" s="1274">
        <v>0</v>
      </c>
      <c r="CV37" s="1274">
        <v>0</v>
      </c>
      <c r="CW37" s="1274">
        <v>0</v>
      </c>
      <c r="CX37" s="1271">
        <v>0</v>
      </c>
      <c r="CY37" s="1274">
        <v>0</v>
      </c>
      <c r="CZ37" s="1274">
        <v>0</v>
      </c>
      <c r="DA37" s="1274">
        <v>0</v>
      </c>
      <c r="DB37" s="1274">
        <v>0</v>
      </c>
      <c r="DC37" s="1274">
        <v>0</v>
      </c>
      <c r="DD37" s="1274">
        <v>0</v>
      </c>
      <c r="DE37" s="1274">
        <v>0</v>
      </c>
      <c r="DF37" s="1274">
        <v>0</v>
      </c>
      <c r="DG37" s="1274">
        <v>0</v>
      </c>
      <c r="DH37" s="1271">
        <v>0</v>
      </c>
      <c r="DI37" s="1274">
        <v>0</v>
      </c>
      <c r="DJ37" s="1274">
        <v>0</v>
      </c>
      <c r="DK37" s="1274">
        <v>0</v>
      </c>
      <c r="DL37" s="1274">
        <v>0</v>
      </c>
      <c r="DM37" s="1274">
        <v>0</v>
      </c>
      <c r="DN37" s="1274">
        <v>0</v>
      </c>
      <c r="DO37" s="1274">
        <v>0</v>
      </c>
      <c r="DP37" s="1274">
        <v>0</v>
      </c>
      <c r="DQ37" s="1274">
        <v>0</v>
      </c>
      <c r="DR37" s="1271">
        <v>0</v>
      </c>
      <c r="DS37" s="1274">
        <v>0</v>
      </c>
      <c r="DT37" s="1274">
        <v>0</v>
      </c>
      <c r="DU37" s="1274">
        <v>0</v>
      </c>
      <c r="DV37" s="1274">
        <v>0</v>
      </c>
      <c r="DW37" s="1274">
        <v>0</v>
      </c>
      <c r="DX37" s="1274">
        <v>0</v>
      </c>
      <c r="DY37" s="1274">
        <v>0</v>
      </c>
      <c r="DZ37" s="1274">
        <v>0</v>
      </c>
      <c r="EA37" s="1274">
        <v>0</v>
      </c>
      <c r="EB37" s="1271">
        <v>0</v>
      </c>
      <c r="EC37" s="1274">
        <v>0</v>
      </c>
      <c r="ED37" s="1274">
        <v>0</v>
      </c>
      <c r="EE37" s="1274">
        <v>0</v>
      </c>
      <c r="EF37" s="1274">
        <v>0</v>
      </c>
      <c r="EG37" s="1274">
        <v>0</v>
      </c>
      <c r="EH37" s="1274">
        <v>0</v>
      </c>
      <c r="EI37" s="1274">
        <v>0</v>
      </c>
      <c r="EJ37" s="1274">
        <v>0</v>
      </c>
      <c r="EK37" s="1274">
        <v>0</v>
      </c>
      <c r="EL37" s="1271">
        <v>0</v>
      </c>
      <c r="EM37" s="1274">
        <v>0</v>
      </c>
      <c r="EN37" s="1274">
        <v>0</v>
      </c>
      <c r="EO37" s="1274">
        <v>0</v>
      </c>
      <c r="EP37" s="1274">
        <v>0</v>
      </c>
      <c r="EQ37" s="1274">
        <v>0</v>
      </c>
      <c r="ER37" s="1274">
        <v>0</v>
      </c>
      <c r="ES37" s="1274">
        <v>0</v>
      </c>
      <c r="ET37" s="1274">
        <v>0</v>
      </c>
      <c r="EU37" s="1274">
        <v>0</v>
      </c>
      <c r="EV37" s="1271">
        <v>0</v>
      </c>
    </row>
    <row r="38" s="496" customFormat="1" ht="13.5" customHeight="1"/>
    <row r="39" spans="1:152" s="496" customFormat="1" ht="13.5" customHeight="1">
      <c r="A39" s="53"/>
      <c r="B39" s="488"/>
      <c r="C39" s="488"/>
      <c r="D39" s="488"/>
      <c r="E39" s="488"/>
      <c r="F39" s="488"/>
      <c r="G39" s="488"/>
      <c r="H39" s="488"/>
      <c r="I39" s="488"/>
      <c r="J39" s="488"/>
      <c r="K39" s="488"/>
      <c r="L39" s="488"/>
      <c r="M39" s="488"/>
      <c r="N39" s="488"/>
      <c r="O39" s="488"/>
      <c r="P39" s="488"/>
      <c r="Q39" s="488"/>
      <c r="R39" s="488"/>
      <c r="S39" s="488"/>
      <c r="T39" s="488"/>
      <c r="U39" s="488"/>
      <c r="V39" s="489"/>
      <c r="W39" s="488"/>
      <c r="X39" s="488"/>
      <c r="Y39" s="488"/>
      <c r="Z39" s="488"/>
      <c r="AA39" s="488"/>
      <c r="AB39" s="488"/>
      <c r="AC39" s="488"/>
      <c r="AD39" s="488"/>
      <c r="AE39" s="488"/>
      <c r="AF39" s="489"/>
      <c r="AG39" s="488"/>
      <c r="AH39" s="488"/>
      <c r="AI39" s="488"/>
      <c r="AJ39" s="488"/>
      <c r="AK39" s="488"/>
      <c r="AL39" s="488"/>
      <c r="AM39" s="488"/>
      <c r="AN39" s="488"/>
      <c r="AO39" s="488"/>
      <c r="AP39" s="489"/>
      <c r="AQ39" s="488"/>
      <c r="AR39" s="488"/>
      <c r="AS39" s="488"/>
      <c r="AT39" s="488"/>
      <c r="AU39" s="488"/>
      <c r="AV39" s="488"/>
      <c r="AW39" s="488"/>
      <c r="AX39" s="488"/>
      <c r="AY39" s="488"/>
      <c r="AZ39" s="489"/>
      <c r="BA39" s="488"/>
      <c r="BB39" s="488"/>
      <c r="BC39" s="488"/>
      <c r="BD39" s="488"/>
      <c r="BE39" s="488"/>
      <c r="BF39" s="488"/>
      <c r="BG39" s="488"/>
      <c r="BH39" s="488"/>
      <c r="BI39" s="488"/>
      <c r="BJ39" s="489"/>
      <c r="BK39" s="488"/>
      <c r="BL39" s="488"/>
      <c r="BM39" s="488"/>
      <c r="BN39" s="488"/>
      <c r="BO39" s="488"/>
      <c r="BP39" s="488"/>
      <c r="BQ39" s="488"/>
      <c r="BR39" s="488"/>
      <c r="BS39" s="488"/>
      <c r="BT39" s="489"/>
      <c r="BU39" s="488"/>
      <c r="BV39" s="488"/>
      <c r="BW39" s="488"/>
      <c r="BX39" s="488"/>
      <c r="BY39" s="488"/>
      <c r="BZ39" s="488"/>
      <c r="CA39" s="488"/>
      <c r="CB39" s="488"/>
      <c r="CC39" s="488"/>
      <c r="CD39" s="489"/>
      <c r="CE39" s="488"/>
      <c r="CF39" s="488"/>
      <c r="CG39" s="488"/>
      <c r="CH39" s="488"/>
      <c r="CI39" s="488"/>
      <c r="CJ39" s="488"/>
      <c r="CK39" s="488"/>
      <c r="CL39" s="488"/>
      <c r="CM39" s="488"/>
      <c r="CN39" s="489"/>
      <c r="CO39" s="488"/>
      <c r="CP39" s="488"/>
      <c r="CQ39" s="488"/>
      <c r="CR39" s="488"/>
      <c r="CS39" s="488"/>
      <c r="CT39" s="488"/>
      <c r="CU39" s="488"/>
      <c r="CV39" s="488"/>
      <c r="CW39" s="488"/>
      <c r="CX39" s="489"/>
      <c r="CY39" s="488"/>
      <c r="CZ39" s="488"/>
      <c r="DA39" s="488"/>
      <c r="DB39" s="488"/>
      <c r="DC39" s="488"/>
      <c r="DD39" s="488"/>
      <c r="DE39" s="488"/>
      <c r="DF39" s="488"/>
      <c r="DG39" s="488"/>
      <c r="DH39" s="489"/>
      <c r="DI39" s="488"/>
      <c r="DJ39" s="488"/>
      <c r="DK39" s="488"/>
      <c r="DL39" s="488"/>
      <c r="DM39" s="488"/>
      <c r="DN39" s="488"/>
      <c r="DO39" s="488"/>
      <c r="DP39" s="488"/>
      <c r="DQ39" s="488"/>
      <c r="DR39" s="489"/>
      <c r="DS39" s="488"/>
      <c r="DT39" s="488"/>
      <c r="DU39" s="488"/>
      <c r="DV39" s="488"/>
      <c r="DW39" s="488"/>
      <c r="DX39" s="488"/>
      <c r="DY39" s="488"/>
      <c r="DZ39" s="488"/>
      <c r="EA39" s="488"/>
      <c r="EB39" s="489"/>
      <c r="EC39" s="488"/>
      <c r="ED39" s="488"/>
      <c r="EE39" s="488"/>
      <c r="EF39" s="488"/>
      <c r="EG39" s="488"/>
      <c r="EH39" s="488"/>
      <c r="EI39" s="488"/>
      <c r="EJ39" s="488"/>
      <c r="EK39" s="488"/>
      <c r="EL39" s="489"/>
      <c r="EM39" s="488"/>
      <c r="EN39" s="488"/>
      <c r="EO39" s="488"/>
      <c r="EP39" s="488"/>
      <c r="EQ39" s="488"/>
      <c r="ER39" s="488"/>
      <c r="ES39" s="488"/>
      <c r="ET39" s="488"/>
      <c r="EU39" s="488"/>
      <c r="EV39" s="489"/>
    </row>
    <row r="40" spans="1:152" s="496" customFormat="1" ht="13.5" customHeight="1">
      <c r="A40" s="53"/>
      <c r="B40" s="488"/>
      <c r="C40" s="488"/>
      <c r="D40" s="488"/>
      <c r="E40" s="488"/>
      <c r="F40" s="488"/>
      <c r="G40" s="488"/>
      <c r="H40" s="488"/>
      <c r="I40" s="488"/>
      <c r="J40" s="488"/>
      <c r="K40" s="488"/>
      <c r="L40" s="488"/>
      <c r="M40" s="488"/>
      <c r="N40" s="488"/>
      <c r="O40" s="488"/>
      <c r="P40" s="488"/>
      <c r="Q40" s="488"/>
      <c r="R40" s="488"/>
      <c r="S40" s="488"/>
      <c r="T40" s="488"/>
      <c r="U40" s="488"/>
      <c r="V40" s="489"/>
      <c r="W40" s="488"/>
      <c r="X40" s="488"/>
      <c r="Y40" s="488"/>
      <c r="Z40" s="488"/>
      <c r="AA40" s="488"/>
      <c r="AB40" s="488"/>
      <c r="AC40" s="488"/>
      <c r="AD40" s="488"/>
      <c r="AE40" s="488"/>
      <c r="AF40" s="489"/>
      <c r="AG40" s="488"/>
      <c r="AH40" s="488"/>
      <c r="AI40" s="488"/>
      <c r="AJ40" s="488"/>
      <c r="AK40" s="488"/>
      <c r="AL40" s="488"/>
      <c r="AM40" s="488"/>
      <c r="AN40" s="488"/>
      <c r="AO40" s="488"/>
      <c r="AP40" s="489"/>
      <c r="AQ40" s="488"/>
      <c r="AR40" s="488"/>
      <c r="AS40" s="488"/>
      <c r="AT40" s="488"/>
      <c r="AU40" s="488"/>
      <c r="AV40" s="488"/>
      <c r="AW40" s="488"/>
      <c r="AX40" s="488"/>
      <c r="AY40" s="488"/>
      <c r="AZ40" s="489"/>
      <c r="BA40" s="488"/>
      <c r="BB40" s="488"/>
      <c r="BC40" s="488"/>
      <c r="BD40" s="488"/>
      <c r="BE40" s="488"/>
      <c r="BF40" s="488"/>
      <c r="BG40" s="488"/>
      <c r="BH40" s="488"/>
      <c r="BI40" s="488"/>
      <c r="BJ40" s="489"/>
      <c r="BK40" s="488"/>
      <c r="BL40" s="488"/>
      <c r="BM40" s="488"/>
      <c r="BN40" s="488"/>
      <c r="BO40" s="488"/>
      <c r="BP40" s="488"/>
      <c r="BQ40" s="488"/>
      <c r="BR40" s="488"/>
      <c r="BS40" s="488"/>
      <c r="BT40" s="489"/>
      <c r="BU40" s="488"/>
      <c r="BV40" s="488"/>
      <c r="BW40" s="488"/>
      <c r="BX40" s="488"/>
      <c r="BY40" s="488"/>
      <c r="BZ40" s="488"/>
      <c r="CA40" s="488"/>
      <c r="CB40" s="488"/>
      <c r="CC40" s="488"/>
      <c r="CD40" s="489"/>
      <c r="CE40" s="488"/>
      <c r="CF40" s="488"/>
      <c r="CG40" s="488"/>
      <c r="CH40" s="488"/>
      <c r="CI40" s="488"/>
      <c r="CJ40" s="488"/>
      <c r="CK40" s="488"/>
      <c r="CL40" s="488"/>
      <c r="CM40" s="488"/>
      <c r="CN40" s="489"/>
      <c r="CO40" s="488"/>
      <c r="CP40" s="488"/>
      <c r="CQ40" s="488"/>
      <c r="CR40" s="488"/>
      <c r="CS40" s="488"/>
      <c r="CT40" s="488"/>
      <c r="CU40" s="488"/>
      <c r="CV40" s="488"/>
      <c r="CW40" s="488"/>
      <c r="CX40" s="489"/>
      <c r="CY40" s="488"/>
      <c r="CZ40" s="488"/>
      <c r="DA40" s="488"/>
      <c r="DB40" s="488"/>
      <c r="DC40" s="488"/>
      <c r="DD40" s="488"/>
      <c r="DE40" s="488"/>
      <c r="DF40" s="488"/>
      <c r="DG40" s="488"/>
      <c r="DH40" s="489"/>
      <c r="DI40" s="488"/>
      <c r="DJ40" s="488"/>
      <c r="DK40" s="488"/>
      <c r="DL40" s="488"/>
      <c r="DM40" s="488"/>
      <c r="DN40" s="488"/>
      <c r="DO40" s="488"/>
      <c r="DP40" s="488"/>
      <c r="DQ40" s="488"/>
      <c r="DR40" s="489"/>
      <c r="DS40" s="488"/>
      <c r="DT40" s="488"/>
      <c r="DU40" s="488"/>
      <c r="DV40" s="488"/>
      <c r="DW40" s="488"/>
      <c r="DX40" s="488"/>
      <c r="DY40" s="488"/>
      <c r="DZ40" s="488"/>
      <c r="EA40" s="488"/>
      <c r="EB40" s="489"/>
      <c r="EC40" s="488"/>
      <c r="ED40" s="488"/>
      <c r="EE40" s="488"/>
      <c r="EF40" s="488"/>
      <c r="EG40" s="488"/>
      <c r="EH40" s="488"/>
      <c r="EI40" s="488"/>
      <c r="EJ40" s="488"/>
      <c r="EK40" s="488"/>
      <c r="EL40" s="489"/>
      <c r="EM40" s="488"/>
      <c r="EN40" s="488"/>
      <c r="EO40" s="488"/>
      <c r="EP40" s="488"/>
      <c r="EQ40" s="488"/>
      <c r="ER40" s="488"/>
      <c r="ES40" s="488"/>
      <c r="ET40" s="488"/>
      <c r="EU40" s="488"/>
      <c r="EV40" s="489"/>
    </row>
    <row r="41" spans="1:152" s="496" customFormat="1" ht="13.5" customHeight="1">
      <c r="A41" s="53"/>
      <c r="B41" s="488"/>
      <c r="C41" s="488"/>
      <c r="D41" s="488"/>
      <c r="E41" s="488"/>
      <c r="F41" s="488"/>
      <c r="G41" s="488"/>
      <c r="H41" s="488"/>
      <c r="I41" s="488"/>
      <c r="J41" s="488"/>
      <c r="K41" s="488"/>
      <c r="L41" s="488"/>
      <c r="M41" s="488"/>
      <c r="N41" s="488"/>
      <c r="O41" s="488"/>
      <c r="P41" s="488"/>
      <c r="Q41" s="488"/>
      <c r="R41" s="488"/>
      <c r="S41" s="488"/>
      <c r="T41" s="488"/>
      <c r="U41" s="488"/>
      <c r="V41" s="489"/>
      <c r="W41" s="488"/>
      <c r="X41" s="488"/>
      <c r="Y41" s="488"/>
      <c r="Z41" s="488"/>
      <c r="AA41" s="488"/>
      <c r="AB41" s="488"/>
      <c r="AC41" s="488"/>
      <c r="AD41" s="488"/>
      <c r="AE41" s="488"/>
      <c r="AF41" s="489"/>
      <c r="AG41" s="488"/>
      <c r="AH41" s="488"/>
      <c r="AI41" s="488"/>
      <c r="AJ41" s="488"/>
      <c r="AK41" s="488"/>
      <c r="AL41" s="488"/>
      <c r="AM41" s="488"/>
      <c r="AN41" s="488"/>
      <c r="AO41" s="488"/>
      <c r="AP41" s="489"/>
      <c r="AQ41" s="488"/>
      <c r="AR41" s="488"/>
      <c r="AS41" s="488"/>
      <c r="AT41" s="488"/>
      <c r="AU41" s="488"/>
      <c r="AV41" s="488"/>
      <c r="AW41" s="488"/>
      <c r="AX41" s="488"/>
      <c r="AY41" s="488"/>
      <c r="AZ41" s="489"/>
      <c r="BA41" s="488"/>
      <c r="BB41" s="488"/>
      <c r="BC41" s="488"/>
      <c r="BD41" s="488"/>
      <c r="BE41" s="488"/>
      <c r="BF41" s="488"/>
      <c r="BG41" s="488"/>
      <c r="BH41" s="488"/>
      <c r="BI41" s="488"/>
      <c r="BJ41" s="489"/>
      <c r="BK41" s="488"/>
      <c r="BL41" s="488"/>
      <c r="BM41" s="488"/>
      <c r="BN41" s="488"/>
      <c r="BO41" s="488"/>
      <c r="BP41" s="488"/>
      <c r="BQ41" s="488"/>
      <c r="BR41" s="488"/>
      <c r="BS41" s="488"/>
      <c r="BT41" s="489"/>
      <c r="BU41" s="488"/>
      <c r="BV41" s="488"/>
      <c r="BW41" s="488"/>
      <c r="BX41" s="488"/>
      <c r="BY41" s="488"/>
      <c r="BZ41" s="488"/>
      <c r="CA41" s="488"/>
      <c r="CB41" s="488"/>
      <c r="CC41" s="488"/>
      <c r="CD41" s="489"/>
      <c r="CE41" s="488"/>
      <c r="CF41" s="488"/>
      <c r="CG41" s="488"/>
      <c r="CH41" s="488"/>
      <c r="CI41" s="488"/>
      <c r="CJ41" s="488"/>
      <c r="CK41" s="488"/>
      <c r="CL41" s="488"/>
      <c r="CM41" s="488"/>
      <c r="CN41" s="489"/>
      <c r="CO41" s="488"/>
      <c r="CP41" s="488"/>
      <c r="CQ41" s="488"/>
      <c r="CR41" s="488"/>
      <c r="CS41" s="488"/>
      <c r="CT41" s="488"/>
      <c r="CU41" s="488"/>
      <c r="CV41" s="488"/>
      <c r="CW41" s="488"/>
      <c r="CX41" s="489"/>
      <c r="CY41" s="488"/>
      <c r="CZ41" s="488"/>
      <c r="DA41" s="488"/>
      <c r="DB41" s="488"/>
      <c r="DC41" s="488"/>
      <c r="DD41" s="488"/>
      <c r="DE41" s="488"/>
      <c r="DF41" s="488"/>
      <c r="DG41" s="488"/>
      <c r="DH41" s="489"/>
      <c r="DI41" s="488"/>
      <c r="DJ41" s="488"/>
      <c r="DK41" s="488"/>
      <c r="DL41" s="488"/>
      <c r="DM41" s="488"/>
      <c r="DN41" s="488"/>
      <c r="DO41" s="488"/>
      <c r="DP41" s="488"/>
      <c r="DQ41" s="488"/>
      <c r="DR41" s="489"/>
      <c r="DS41" s="488"/>
      <c r="DT41" s="488"/>
      <c r="DU41" s="488"/>
      <c r="DV41" s="488"/>
      <c r="DW41" s="488"/>
      <c r="DX41" s="488"/>
      <c r="DY41" s="488"/>
      <c r="DZ41" s="488"/>
      <c r="EA41" s="488"/>
      <c r="EB41" s="489"/>
      <c r="EC41" s="488"/>
      <c r="ED41" s="488"/>
      <c r="EE41" s="488"/>
      <c r="EF41" s="488"/>
      <c r="EG41" s="488"/>
      <c r="EH41" s="488"/>
      <c r="EI41" s="488"/>
      <c r="EJ41" s="488"/>
      <c r="EK41" s="488"/>
      <c r="EL41" s="489"/>
      <c r="EM41" s="488"/>
      <c r="EN41" s="488"/>
      <c r="EO41" s="488"/>
      <c r="EP41" s="488"/>
      <c r="EQ41" s="488"/>
      <c r="ER41" s="488"/>
      <c r="ES41" s="488"/>
      <c r="ET41" s="488"/>
      <c r="EU41" s="488"/>
      <c r="EV41" s="489"/>
    </row>
    <row r="42" spans="1:152" s="496" customFormat="1" ht="13.5" customHeight="1">
      <c r="A42" s="53"/>
      <c r="B42" s="488"/>
      <c r="C42" s="488"/>
      <c r="D42" s="488"/>
      <c r="E42" s="488"/>
      <c r="F42" s="488"/>
      <c r="G42" s="488"/>
      <c r="H42" s="488"/>
      <c r="I42" s="488"/>
      <c r="J42" s="488"/>
      <c r="K42" s="488"/>
      <c r="L42" s="488"/>
      <c r="M42" s="488"/>
      <c r="N42" s="488"/>
      <c r="O42" s="488"/>
      <c r="P42" s="488"/>
      <c r="Q42" s="488"/>
      <c r="R42" s="488"/>
      <c r="S42" s="488"/>
      <c r="T42" s="488"/>
      <c r="U42" s="488"/>
      <c r="V42" s="489"/>
      <c r="W42" s="488"/>
      <c r="X42" s="488"/>
      <c r="Y42" s="488"/>
      <c r="Z42" s="488"/>
      <c r="AA42" s="488"/>
      <c r="AB42" s="488"/>
      <c r="AC42" s="488"/>
      <c r="AD42" s="488"/>
      <c r="AE42" s="488"/>
      <c r="AF42" s="489"/>
      <c r="AG42" s="488"/>
      <c r="AH42" s="488"/>
      <c r="AI42" s="488"/>
      <c r="AJ42" s="488"/>
      <c r="AK42" s="488"/>
      <c r="AL42" s="488"/>
      <c r="AM42" s="488"/>
      <c r="AN42" s="488"/>
      <c r="AO42" s="488"/>
      <c r="AP42" s="489"/>
      <c r="AQ42" s="488"/>
      <c r="AR42" s="488"/>
      <c r="AS42" s="488"/>
      <c r="AT42" s="488"/>
      <c r="AU42" s="488"/>
      <c r="AV42" s="488"/>
      <c r="AW42" s="488"/>
      <c r="AX42" s="488"/>
      <c r="AY42" s="488"/>
      <c r="AZ42" s="489"/>
      <c r="BA42" s="488"/>
      <c r="BB42" s="488"/>
      <c r="BC42" s="488"/>
      <c r="BD42" s="488"/>
      <c r="BE42" s="488"/>
      <c r="BF42" s="488"/>
      <c r="BG42" s="488"/>
      <c r="BH42" s="488"/>
      <c r="BI42" s="488"/>
      <c r="BJ42" s="489"/>
      <c r="BK42" s="488"/>
      <c r="BL42" s="488"/>
      <c r="BM42" s="488"/>
      <c r="BN42" s="488"/>
      <c r="BO42" s="488"/>
      <c r="BP42" s="488"/>
      <c r="BQ42" s="488"/>
      <c r="BR42" s="488"/>
      <c r="BS42" s="488"/>
      <c r="BT42" s="489"/>
      <c r="BU42" s="488"/>
      <c r="BV42" s="488"/>
      <c r="BW42" s="488"/>
      <c r="BX42" s="488"/>
      <c r="BY42" s="488"/>
      <c r="BZ42" s="488"/>
      <c r="CA42" s="488"/>
      <c r="CB42" s="488"/>
      <c r="CC42" s="488"/>
      <c r="CD42" s="489"/>
      <c r="CE42" s="488"/>
      <c r="CF42" s="488"/>
      <c r="CG42" s="488"/>
      <c r="CH42" s="488"/>
      <c r="CI42" s="488"/>
      <c r="CJ42" s="488"/>
      <c r="CK42" s="488"/>
      <c r="CL42" s="488"/>
      <c r="CM42" s="488"/>
      <c r="CN42" s="489"/>
      <c r="CO42" s="488"/>
      <c r="CP42" s="488"/>
      <c r="CQ42" s="488"/>
      <c r="CR42" s="488"/>
      <c r="CS42" s="488"/>
      <c r="CT42" s="488"/>
      <c r="CU42" s="488"/>
      <c r="CV42" s="488"/>
      <c r="CW42" s="488"/>
      <c r="CX42" s="489"/>
      <c r="CY42" s="488"/>
      <c r="CZ42" s="488"/>
      <c r="DA42" s="488"/>
      <c r="DB42" s="488"/>
      <c r="DC42" s="488"/>
      <c r="DD42" s="488"/>
      <c r="DE42" s="488"/>
      <c r="DF42" s="488"/>
      <c r="DG42" s="488"/>
      <c r="DH42" s="489"/>
      <c r="DI42" s="488"/>
      <c r="DJ42" s="488"/>
      <c r="DK42" s="488"/>
      <c r="DL42" s="488"/>
      <c r="DM42" s="488"/>
      <c r="DN42" s="488"/>
      <c r="DO42" s="488"/>
      <c r="DP42" s="488"/>
      <c r="DQ42" s="488"/>
      <c r="DR42" s="489"/>
      <c r="DS42" s="488"/>
      <c r="DT42" s="488"/>
      <c r="DU42" s="488"/>
      <c r="DV42" s="488"/>
      <c r="DW42" s="488"/>
      <c r="DX42" s="488"/>
      <c r="DY42" s="488"/>
      <c r="DZ42" s="488"/>
      <c r="EA42" s="488"/>
      <c r="EB42" s="489"/>
      <c r="EC42" s="488"/>
      <c r="ED42" s="488"/>
      <c r="EE42" s="488"/>
      <c r="EF42" s="488"/>
      <c r="EG42" s="488"/>
      <c r="EH42" s="488"/>
      <c r="EI42" s="488"/>
      <c r="EJ42" s="488"/>
      <c r="EK42" s="488"/>
      <c r="EL42" s="489"/>
      <c r="EM42" s="488"/>
      <c r="EN42" s="488"/>
      <c r="EO42" s="488"/>
      <c r="EP42" s="488"/>
      <c r="EQ42" s="488"/>
      <c r="ER42" s="488"/>
      <c r="ES42" s="488"/>
      <c r="ET42" s="488"/>
      <c r="EU42" s="488"/>
      <c r="EV42" s="489"/>
    </row>
    <row r="43" spans="1:152" s="496" customFormat="1" ht="13.5" customHeight="1">
      <c r="A43" s="53"/>
      <c r="B43" s="488"/>
      <c r="C43" s="488"/>
      <c r="D43" s="488"/>
      <c r="E43" s="488"/>
      <c r="F43" s="488"/>
      <c r="G43" s="488"/>
      <c r="H43" s="488"/>
      <c r="I43" s="488"/>
      <c r="J43" s="488"/>
      <c r="K43" s="488"/>
      <c r="L43" s="488"/>
      <c r="M43" s="488"/>
      <c r="N43" s="488"/>
      <c r="O43" s="488"/>
      <c r="P43" s="488"/>
      <c r="Q43" s="488"/>
      <c r="R43" s="488"/>
      <c r="S43" s="488"/>
      <c r="T43" s="488"/>
      <c r="U43" s="488"/>
      <c r="V43" s="489"/>
      <c r="W43" s="488"/>
      <c r="X43" s="488"/>
      <c r="Y43" s="488"/>
      <c r="Z43" s="488"/>
      <c r="AA43" s="488"/>
      <c r="AB43" s="488"/>
      <c r="AC43" s="488"/>
      <c r="AD43" s="488"/>
      <c r="AE43" s="488"/>
      <c r="AF43" s="489"/>
      <c r="AG43" s="488"/>
      <c r="AH43" s="488"/>
      <c r="AI43" s="488"/>
      <c r="AJ43" s="488"/>
      <c r="AK43" s="488"/>
      <c r="AL43" s="488"/>
      <c r="AM43" s="488"/>
      <c r="AN43" s="488"/>
      <c r="AO43" s="488"/>
      <c r="AP43" s="489"/>
      <c r="AQ43" s="488"/>
      <c r="AR43" s="488"/>
      <c r="AS43" s="488"/>
      <c r="AT43" s="488"/>
      <c r="AU43" s="488"/>
      <c r="AV43" s="488"/>
      <c r="AW43" s="488"/>
      <c r="AX43" s="488"/>
      <c r="AY43" s="488"/>
      <c r="AZ43" s="489"/>
      <c r="BA43" s="488"/>
      <c r="BB43" s="488"/>
      <c r="BC43" s="488"/>
      <c r="BD43" s="488"/>
      <c r="BE43" s="488"/>
      <c r="BF43" s="488"/>
      <c r="BG43" s="488"/>
      <c r="BH43" s="488"/>
      <c r="BI43" s="488"/>
      <c r="BJ43" s="489"/>
      <c r="BK43" s="488"/>
      <c r="BL43" s="488"/>
      <c r="BM43" s="488"/>
      <c r="BN43" s="488"/>
      <c r="BO43" s="488"/>
      <c r="BP43" s="488"/>
      <c r="BQ43" s="488"/>
      <c r="BR43" s="488"/>
      <c r="BS43" s="488"/>
      <c r="BT43" s="489"/>
      <c r="BU43" s="488"/>
      <c r="BV43" s="488"/>
      <c r="BW43" s="488"/>
      <c r="BX43" s="488"/>
      <c r="BY43" s="488"/>
      <c r="BZ43" s="488"/>
      <c r="CA43" s="488"/>
      <c r="CB43" s="488"/>
      <c r="CC43" s="488"/>
      <c r="CD43" s="489"/>
      <c r="CE43" s="488"/>
      <c r="CF43" s="488"/>
      <c r="CG43" s="488"/>
      <c r="CH43" s="488"/>
      <c r="CI43" s="488"/>
      <c r="CJ43" s="488"/>
      <c r="CK43" s="488"/>
      <c r="CL43" s="488"/>
      <c r="CM43" s="488"/>
      <c r="CN43" s="489"/>
      <c r="CO43" s="488"/>
      <c r="CP43" s="488"/>
      <c r="CQ43" s="488"/>
      <c r="CR43" s="488"/>
      <c r="CS43" s="488"/>
      <c r="CT43" s="488"/>
      <c r="CU43" s="488"/>
      <c r="CV43" s="488"/>
      <c r="CW43" s="488"/>
      <c r="CX43" s="489"/>
      <c r="CY43" s="488"/>
      <c r="CZ43" s="488"/>
      <c r="DA43" s="488"/>
      <c r="DB43" s="488"/>
      <c r="DC43" s="488"/>
      <c r="DD43" s="488"/>
      <c r="DE43" s="488"/>
      <c r="DF43" s="488"/>
      <c r="DG43" s="488"/>
      <c r="DH43" s="489"/>
      <c r="DI43" s="488"/>
      <c r="DJ43" s="488"/>
      <c r="DK43" s="488"/>
      <c r="DL43" s="488"/>
      <c r="DM43" s="488"/>
      <c r="DN43" s="488"/>
      <c r="DO43" s="488"/>
      <c r="DP43" s="488"/>
      <c r="DQ43" s="488"/>
      <c r="DR43" s="489"/>
      <c r="DS43" s="488"/>
      <c r="DT43" s="488"/>
      <c r="DU43" s="488"/>
      <c r="DV43" s="488"/>
      <c r="DW43" s="488"/>
      <c r="DX43" s="488"/>
      <c r="DY43" s="488"/>
      <c r="DZ43" s="488"/>
      <c r="EA43" s="488"/>
      <c r="EB43" s="489"/>
      <c r="EC43" s="488"/>
      <c r="ED43" s="488"/>
      <c r="EE43" s="488"/>
      <c r="EF43" s="488"/>
      <c r="EG43" s="488"/>
      <c r="EH43" s="488"/>
      <c r="EI43" s="488"/>
      <c r="EJ43" s="488"/>
      <c r="EK43" s="488"/>
      <c r="EL43" s="489"/>
      <c r="EM43" s="488"/>
      <c r="EN43" s="488"/>
      <c r="EO43" s="488"/>
      <c r="EP43" s="488"/>
      <c r="EQ43" s="488"/>
      <c r="ER43" s="488"/>
      <c r="ES43" s="488"/>
      <c r="ET43" s="488"/>
      <c r="EU43" s="488"/>
      <c r="EV43" s="489"/>
    </row>
    <row r="44" spans="1:152" s="496" customFormat="1" ht="13.5" customHeight="1">
      <c r="A44" s="53"/>
      <c r="B44" s="488"/>
      <c r="C44" s="488"/>
      <c r="D44" s="488"/>
      <c r="E44" s="488"/>
      <c r="F44" s="488"/>
      <c r="G44" s="488"/>
      <c r="H44" s="488"/>
      <c r="I44" s="488"/>
      <c r="J44" s="488"/>
      <c r="K44" s="488"/>
      <c r="L44" s="488"/>
      <c r="M44" s="488"/>
      <c r="N44" s="488"/>
      <c r="O44" s="488"/>
      <c r="P44" s="488"/>
      <c r="Q44" s="488"/>
      <c r="R44" s="488"/>
      <c r="S44" s="488"/>
      <c r="T44" s="488"/>
      <c r="U44" s="488"/>
      <c r="V44" s="489"/>
      <c r="W44" s="488"/>
      <c r="X44" s="488"/>
      <c r="Y44" s="488"/>
      <c r="Z44" s="488"/>
      <c r="AA44" s="488"/>
      <c r="AB44" s="488"/>
      <c r="AC44" s="488"/>
      <c r="AD44" s="488"/>
      <c r="AE44" s="488"/>
      <c r="AF44" s="489"/>
      <c r="AG44" s="488"/>
      <c r="AH44" s="488"/>
      <c r="AI44" s="488"/>
      <c r="AJ44" s="488"/>
      <c r="AK44" s="488"/>
      <c r="AL44" s="488"/>
      <c r="AM44" s="488"/>
      <c r="AN44" s="488"/>
      <c r="AO44" s="488"/>
      <c r="AP44" s="489"/>
      <c r="AQ44" s="488"/>
      <c r="AR44" s="488"/>
      <c r="AS44" s="488"/>
      <c r="AT44" s="488"/>
      <c r="AU44" s="488"/>
      <c r="AV44" s="488"/>
      <c r="AW44" s="488"/>
      <c r="AX44" s="488"/>
      <c r="AY44" s="488"/>
      <c r="AZ44" s="489"/>
      <c r="BA44" s="488"/>
      <c r="BB44" s="488"/>
      <c r="BC44" s="488"/>
      <c r="BD44" s="488"/>
      <c r="BE44" s="488"/>
      <c r="BF44" s="488"/>
      <c r="BG44" s="488"/>
      <c r="BH44" s="488"/>
      <c r="BI44" s="488"/>
      <c r="BJ44" s="489"/>
      <c r="BK44" s="488"/>
      <c r="BL44" s="488"/>
      <c r="BM44" s="488"/>
      <c r="BN44" s="488"/>
      <c r="BO44" s="488"/>
      <c r="BP44" s="488"/>
      <c r="BQ44" s="488"/>
      <c r="BR44" s="488"/>
      <c r="BS44" s="488"/>
      <c r="BT44" s="489"/>
      <c r="BU44" s="488"/>
      <c r="BV44" s="488"/>
      <c r="BW44" s="488"/>
      <c r="BX44" s="488"/>
      <c r="BY44" s="488"/>
      <c r="BZ44" s="488"/>
      <c r="CA44" s="488"/>
      <c r="CB44" s="488"/>
      <c r="CC44" s="488"/>
      <c r="CD44" s="489"/>
      <c r="CE44" s="488"/>
      <c r="CF44" s="488"/>
      <c r="CG44" s="488"/>
      <c r="CH44" s="488"/>
      <c r="CI44" s="488"/>
      <c r="CJ44" s="488"/>
      <c r="CK44" s="488"/>
      <c r="CL44" s="488"/>
      <c r="CM44" s="488"/>
      <c r="CN44" s="489"/>
      <c r="CO44" s="488"/>
      <c r="CP44" s="488"/>
      <c r="CQ44" s="488"/>
      <c r="CR44" s="488"/>
      <c r="CS44" s="488"/>
      <c r="CT44" s="488"/>
      <c r="CU44" s="488"/>
      <c r="CV44" s="488"/>
      <c r="CW44" s="488"/>
      <c r="CX44" s="489"/>
      <c r="CY44" s="488"/>
      <c r="CZ44" s="488"/>
      <c r="DA44" s="488"/>
      <c r="DB44" s="488"/>
      <c r="DC44" s="488"/>
      <c r="DD44" s="488"/>
      <c r="DE44" s="488"/>
      <c r="DF44" s="488"/>
      <c r="DG44" s="488"/>
      <c r="DH44" s="489"/>
      <c r="DI44" s="488"/>
      <c r="DJ44" s="488"/>
      <c r="DK44" s="488"/>
      <c r="DL44" s="488"/>
      <c r="DM44" s="488"/>
      <c r="DN44" s="488"/>
      <c r="DO44" s="488"/>
      <c r="DP44" s="488"/>
      <c r="DQ44" s="488"/>
      <c r="DR44" s="489"/>
      <c r="DS44" s="488"/>
      <c r="DT44" s="488"/>
      <c r="DU44" s="488"/>
      <c r="DV44" s="488"/>
      <c r="DW44" s="488"/>
      <c r="DX44" s="488"/>
      <c r="DY44" s="488"/>
      <c r="DZ44" s="488"/>
      <c r="EA44" s="488"/>
      <c r="EB44" s="489"/>
      <c r="EC44" s="488"/>
      <c r="ED44" s="488"/>
      <c r="EE44" s="488"/>
      <c r="EF44" s="488"/>
      <c r="EG44" s="488"/>
      <c r="EH44" s="488"/>
      <c r="EI44" s="488"/>
      <c r="EJ44" s="488"/>
      <c r="EK44" s="488"/>
      <c r="EL44" s="489"/>
      <c r="EM44" s="488"/>
      <c r="EN44" s="488"/>
      <c r="EO44" s="488"/>
      <c r="EP44" s="488"/>
      <c r="EQ44" s="488"/>
      <c r="ER44" s="488"/>
      <c r="ES44" s="488"/>
      <c r="ET44" s="488"/>
      <c r="EU44" s="488"/>
      <c r="EV44" s="489"/>
    </row>
    <row r="45" spans="1:152" s="496" customFormat="1" ht="13.5" customHeight="1">
      <c r="A45" s="53"/>
      <c r="B45" s="488"/>
      <c r="C45" s="488"/>
      <c r="D45" s="488"/>
      <c r="E45" s="488"/>
      <c r="F45" s="488"/>
      <c r="G45" s="488"/>
      <c r="H45" s="488"/>
      <c r="I45" s="488"/>
      <c r="J45" s="488"/>
      <c r="K45" s="488"/>
      <c r="L45" s="488"/>
      <c r="M45" s="488"/>
      <c r="N45" s="488"/>
      <c r="O45" s="488"/>
      <c r="P45" s="488"/>
      <c r="Q45" s="488"/>
      <c r="R45" s="488"/>
      <c r="S45" s="488"/>
      <c r="T45" s="488"/>
      <c r="U45" s="488"/>
      <c r="V45" s="489"/>
      <c r="W45" s="488"/>
      <c r="X45" s="488"/>
      <c r="Y45" s="488"/>
      <c r="Z45" s="488"/>
      <c r="AA45" s="488"/>
      <c r="AB45" s="488"/>
      <c r="AC45" s="488"/>
      <c r="AD45" s="488"/>
      <c r="AE45" s="488"/>
      <c r="AF45" s="489"/>
      <c r="AG45" s="488"/>
      <c r="AH45" s="488"/>
      <c r="AI45" s="488"/>
      <c r="AJ45" s="488"/>
      <c r="AK45" s="488"/>
      <c r="AL45" s="488"/>
      <c r="AM45" s="488"/>
      <c r="AN45" s="488"/>
      <c r="AO45" s="488"/>
      <c r="AP45" s="489"/>
      <c r="AQ45" s="488"/>
      <c r="AR45" s="488"/>
      <c r="AS45" s="488"/>
      <c r="AT45" s="488"/>
      <c r="AU45" s="488"/>
      <c r="AV45" s="488"/>
      <c r="AW45" s="488"/>
      <c r="AX45" s="488"/>
      <c r="AY45" s="488"/>
      <c r="AZ45" s="489"/>
      <c r="BA45" s="488"/>
      <c r="BB45" s="488"/>
      <c r="BC45" s="488"/>
      <c r="BD45" s="488"/>
      <c r="BE45" s="488"/>
      <c r="BF45" s="488"/>
      <c r="BG45" s="488"/>
      <c r="BH45" s="488"/>
      <c r="BI45" s="488"/>
      <c r="BJ45" s="489"/>
      <c r="BK45" s="488"/>
      <c r="BL45" s="488"/>
      <c r="BM45" s="488"/>
      <c r="BN45" s="488"/>
      <c r="BO45" s="488"/>
      <c r="BP45" s="488"/>
      <c r="BQ45" s="488"/>
      <c r="BR45" s="488"/>
      <c r="BS45" s="488"/>
      <c r="BT45" s="489"/>
      <c r="BU45" s="488"/>
      <c r="BV45" s="488"/>
      <c r="BW45" s="488"/>
      <c r="BX45" s="488"/>
      <c r="BY45" s="488"/>
      <c r="BZ45" s="488"/>
      <c r="CA45" s="488"/>
      <c r="CB45" s="488"/>
      <c r="CC45" s="488"/>
      <c r="CD45" s="489"/>
      <c r="CE45" s="488"/>
      <c r="CF45" s="488"/>
      <c r="CG45" s="488"/>
      <c r="CH45" s="488"/>
      <c r="CI45" s="488"/>
      <c r="CJ45" s="488"/>
      <c r="CK45" s="488"/>
      <c r="CL45" s="488"/>
      <c r="CM45" s="488"/>
      <c r="CN45" s="489"/>
      <c r="CO45" s="488"/>
      <c r="CP45" s="488"/>
      <c r="CQ45" s="488"/>
      <c r="CR45" s="488"/>
      <c r="CS45" s="488"/>
      <c r="CT45" s="488"/>
      <c r="CU45" s="488"/>
      <c r="CV45" s="488"/>
      <c r="CW45" s="488"/>
      <c r="CX45" s="489"/>
      <c r="CY45" s="488"/>
      <c r="CZ45" s="488"/>
      <c r="DA45" s="488"/>
      <c r="DB45" s="488"/>
      <c r="DC45" s="488"/>
      <c r="DD45" s="488"/>
      <c r="DE45" s="488"/>
      <c r="DF45" s="488"/>
      <c r="DG45" s="488"/>
      <c r="DH45" s="489"/>
      <c r="DI45" s="488"/>
      <c r="DJ45" s="488"/>
      <c r="DK45" s="488"/>
      <c r="DL45" s="488"/>
      <c r="DM45" s="488"/>
      <c r="DN45" s="488"/>
      <c r="DO45" s="488"/>
      <c r="DP45" s="488"/>
      <c r="DQ45" s="488"/>
      <c r="DR45" s="489"/>
      <c r="DS45" s="488"/>
      <c r="DT45" s="488"/>
      <c r="DU45" s="488"/>
      <c r="DV45" s="488"/>
      <c r="DW45" s="488"/>
      <c r="DX45" s="488"/>
      <c r="DY45" s="488"/>
      <c r="DZ45" s="488"/>
      <c r="EA45" s="488"/>
      <c r="EB45" s="489"/>
      <c r="EC45" s="488"/>
      <c r="ED45" s="488"/>
      <c r="EE45" s="488"/>
      <c r="EF45" s="488"/>
      <c r="EG45" s="488"/>
      <c r="EH45" s="488"/>
      <c r="EI45" s="488"/>
      <c r="EJ45" s="488"/>
      <c r="EK45" s="488"/>
      <c r="EL45" s="489"/>
      <c r="EM45" s="488"/>
      <c r="EN45" s="488"/>
      <c r="EO45" s="488"/>
      <c r="EP45" s="488"/>
      <c r="EQ45" s="488"/>
      <c r="ER45" s="488"/>
      <c r="ES45" s="488"/>
      <c r="ET45" s="488"/>
      <c r="EU45" s="488"/>
      <c r="EV45" s="489"/>
    </row>
    <row r="46" spans="1:152" s="496" customFormat="1" ht="13.5" customHeight="1">
      <c r="A46" s="53"/>
      <c r="B46" s="489"/>
      <c r="C46" s="489"/>
      <c r="D46" s="489"/>
      <c r="E46" s="489"/>
      <c r="F46" s="489"/>
      <c r="G46" s="489"/>
      <c r="H46" s="489"/>
      <c r="I46" s="489"/>
      <c r="J46" s="489"/>
      <c r="K46" s="489"/>
      <c r="L46" s="489"/>
      <c r="M46" s="489"/>
      <c r="N46" s="489"/>
      <c r="O46" s="489"/>
      <c r="P46" s="489"/>
      <c r="Q46" s="489"/>
      <c r="R46" s="489"/>
      <c r="S46" s="489"/>
      <c r="T46" s="489"/>
      <c r="U46" s="489"/>
      <c r="V46" s="489"/>
      <c r="W46" s="488"/>
      <c r="X46" s="488"/>
      <c r="Y46" s="488"/>
      <c r="Z46" s="488"/>
      <c r="AA46" s="488"/>
      <c r="AB46" s="488"/>
      <c r="AC46" s="488"/>
      <c r="AD46" s="488"/>
      <c r="AE46" s="488"/>
      <c r="AF46" s="489"/>
      <c r="AG46" s="488"/>
      <c r="AH46" s="488"/>
      <c r="AI46" s="488"/>
      <c r="AJ46" s="488"/>
      <c r="AK46" s="488"/>
      <c r="AL46" s="488"/>
      <c r="AM46" s="488"/>
      <c r="AN46" s="488"/>
      <c r="AO46" s="488"/>
      <c r="AP46" s="489"/>
      <c r="AQ46" s="488"/>
      <c r="AR46" s="488"/>
      <c r="AS46" s="488"/>
      <c r="AT46" s="488"/>
      <c r="AU46" s="488"/>
      <c r="AV46" s="488"/>
      <c r="AW46" s="488"/>
      <c r="AX46" s="488"/>
      <c r="AY46" s="488"/>
      <c r="AZ46" s="489"/>
      <c r="BA46" s="488"/>
      <c r="BB46" s="488"/>
      <c r="BC46" s="488"/>
      <c r="BD46" s="488"/>
      <c r="BE46" s="488"/>
      <c r="BF46" s="488"/>
      <c r="BG46" s="488"/>
      <c r="BH46" s="488"/>
      <c r="BI46" s="488"/>
      <c r="BJ46" s="489"/>
      <c r="BK46" s="488"/>
      <c r="BL46" s="488"/>
      <c r="BM46" s="488"/>
      <c r="BN46" s="488"/>
      <c r="BO46" s="488"/>
      <c r="BP46" s="488"/>
      <c r="BQ46" s="488"/>
      <c r="BR46" s="488"/>
      <c r="BS46" s="488"/>
      <c r="BT46" s="489"/>
      <c r="BU46" s="488"/>
      <c r="BV46" s="488"/>
      <c r="BW46" s="488"/>
      <c r="BX46" s="488"/>
      <c r="BY46" s="488"/>
      <c r="BZ46" s="488"/>
      <c r="CA46" s="488"/>
      <c r="CB46" s="488"/>
      <c r="CC46" s="488"/>
      <c r="CD46" s="489"/>
      <c r="CE46" s="488"/>
      <c r="CF46" s="488"/>
      <c r="CG46" s="488"/>
      <c r="CH46" s="488"/>
      <c r="CI46" s="488"/>
      <c r="CJ46" s="488"/>
      <c r="CK46" s="488"/>
      <c r="CL46" s="488"/>
      <c r="CM46" s="488"/>
      <c r="CN46" s="489"/>
      <c r="CO46" s="488"/>
      <c r="CP46" s="488"/>
      <c r="CQ46" s="488"/>
      <c r="CR46" s="488"/>
      <c r="CS46" s="488"/>
      <c r="CT46" s="488"/>
      <c r="CU46" s="488"/>
      <c r="CV46" s="488"/>
      <c r="CW46" s="488"/>
      <c r="CX46" s="489"/>
      <c r="CY46" s="488"/>
      <c r="CZ46" s="488"/>
      <c r="DA46" s="488"/>
      <c r="DB46" s="488"/>
      <c r="DC46" s="488"/>
      <c r="DD46" s="488"/>
      <c r="DE46" s="488"/>
      <c r="DF46" s="488"/>
      <c r="DG46" s="488"/>
      <c r="DH46" s="489"/>
      <c r="DI46" s="488"/>
      <c r="DJ46" s="488"/>
      <c r="DK46" s="488"/>
      <c r="DL46" s="488"/>
      <c r="DM46" s="488"/>
      <c r="DN46" s="488"/>
      <c r="DO46" s="488"/>
      <c r="DP46" s="488"/>
      <c r="DQ46" s="488"/>
      <c r="DR46" s="489"/>
      <c r="DS46" s="488"/>
      <c r="DT46" s="488"/>
      <c r="DU46" s="488"/>
      <c r="DV46" s="488"/>
      <c r="DW46" s="488"/>
      <c r="DX46" s="488"/>
      <c r="DY46" s="488"/>
      <c r="DZ46" s="488"/>
      <c r="EA46" s="488"/>
      <c r="EB46" s="489"/>
      <c r="EC46" s="488"/>
      <c r="ED46" s="488"/>
      <c r="EE46" s="488"/>
      <c r="EF46" s="488"/>
      <c r="EG46" s="488"/>
      <c r="EH46" s="488"/>
      <c r="EI46" s="488"/>
      <c r="EJ46" s="488"/>
      <c r="EK46" s="488"/>
      <c r="EL46" s="489"/>
      <c r="EM46" s="488"/>
      <c r="EN46" s="488"/>
      <c r="EO46" s="488"/>
      <c r="EP46" s="488"/>
      <c r="EQ46" s="488"/>
      <c r="ER46" s="488"/>
      <c r="ES46" s="488"/>
      <c r="ET46" s="488"/>
      <c r="EU46" s="488"/>
      <c r="EV46" s="489"/>
    </row>
    <row r="47" spans="1:152" s="496" customFormat="1" ht="13.5" customHeight="1">
      <c r="A47" s="53"/>
      <c r="B47" s="489"/>
      <c r="C47" s="489"/>
      <c r="D47" s="489"/>
      <c r="E47" s="489"/>
      <c r="F47" s="489"/>
      <c r="G47" s="489"/>
      <c r="H47" s="489"/>
      <c r="I47" s="489"/>
      <c r="J47" s="489"/>
      <c r="K47" s="489"/>
      <c r="L47" s="489"/>
      <c r="M47" s="489"/>
      <c r="N47" s="489"/>
      <c r="O47" s="489"/>
      <c r="P47" s="489"/>
      <c r="Q47" s="489"/>
      <c r="R47" s="489"/>
      <c r="S47" s="489"/>
      <c r="T47" s="489"/>
      <c r="U47" s="489"/>
      <c r="V47" s="489"/>
      <c r="W47" s="488"/>
      <c r="X47" s="488"/>
      <c r="Y47" s="488"/>
      <c r="Z47" s="488"/>
      <c r="AA47" s="488"/>
      <c r="AB47" s="488"/>
      <c r="AC47" s="488"/>
      <c r="AD47" s="488"/>
      <c r="AE47" s="488"/>
      <c r="AF47" s="489"/>
      <c r="AG47" s="488"/>
      <c r="AH47" s="488"/>
      <c r="AI47" s="488"/>
      <c r="AJ47" s="488"/>
      <c r="AK47" s="488"/>
      <c r="AL47" s="488"/>
      <c r="AM47" s="488"/>
      <c r="AN47" s="488"/>
      <c r="AO47" s="488"/>
      <c r="AP47" s="489"/>
      <c r="AQ47" s="488"/>
      <c r="AR47" s="488"/>
      <c r="AS47" s="488"/>
      <c r="AT47" s="488"/>
      <c r="AU47" s="488"/>
      <c r="AV47" s="488"/>
      <c r="AW47" s="488"/>
      <c r="AX47" s="488"/>
      <c r="AY47" s="488"/>
      <c r="AZ47" s="489"/>
      <c r="BA47" s="488"/>
      <c r="BB47" s="488"/>
      <c r="BC47" s="488"/>
      <c r="BD47" s="488"/>
      <c r="BE47" s="488"/>
      <c r="BF47" s="488"/>
      <c r="BG47" s="488"/>
      <c r="BH47" s="488"/>
      <c r="BI47" s="488"/>
      <c r="BJ47" s="489"/>
      <c r="BK47" s="488"/>
      <c r="BL47" s="488"/>
      <c r="BM47" s="488"/>
      <c r="BN47" s="488"/>
      <c r="BO47" s="488"/>
      <c r="BP47" s="488"/>
      <c r="BQ47" s="488"/>
      <c r="BR47" s="488"/>
      <c r="BS47" s="488"/>
      <c r="BT47" s="489"/>
      <c r="BU47" s="488"/>
      <c r="BV47" s="488"/>
      <c r="BW47" s="488"/>
      <c r="BX47" s="488"/>
      <c r="BY47" s="488"/>
      <c r="BZ47" s="488"/>
      <c r="CA47" s="488"/>
      <c r="CB47" s="488"/>
      <c r="CC47" s="488"/>
      <c r="CD47" s="489"/>
      <c r="CE47" s="488"/>
      <c r="CF47" s="488"/>
      <c r="CG47" s="488"/>
      <c r="CH47" s="488"/>
      <c r="CI47" s="488"/>
      <c r="CJ47" s="488"/>
      <c r="CK47" s="488"/>
      <c r="CL47" s="488"/>
      <c r="CM47" s="488"/>
      <c r="CN47" s="489"/>
      <c r="CO47" s="488"/>
      <c r="CP47" s="488"/>
      <c r="CQ47" s="488"/>
      <c r="CR47" s="488"/>
      <c r="CS47" s="488"/>
      <c r="CT47" s="488"/>
      <c r="CU47" s="488"/>
      <c r="CV47" s="488"/>
      <c r="CW47" s="488"/>
      <c r="CX47" s="489"/>
      <c r="CY47" s="488"/>
      <c r="CZ47" s="488"/>
      <c r="DA47" s="488"/>
      <c r="DB47" s="488"/>
      <c r="DC47" s="488"/>
      <c r="DD47" s="488"/>
      <c r="DE47" s="488"/>
      <c r="DF47" s="488"/>
      <c r="DG47" s="488"/>
      <c r="DH47" s="489"/>
      <c r="DI47" s="488"/>
      <c r="DJ47" s="488"/>
      <c r="DK47" s="488"/>
      <c r="DL47" s="488"/>
      <c r="DM47" s="488"/>
      <c r="DN47" s="488"/>
      <c r="DO47" s="488"/>
      <c r="DP47" s="488"/>
      <c r="DQ47" s="488"/>
      <c r="DR47" s="489"/>
      <c r="DS47" s="488"/>
      <c r="DT47" s="488"/>
      <c r="DU47" s="488"/>
      <c r="DV47" s="488"/>
      <c r="DW47" s="488"/>
      <c r="DX47" s="488"/>
      <c r="DY47" s="488"/>
      <c r="DZ47" s="488"/>
      <c r="EA47" s="488"/>
      <c r="EB47" s="489"/>
      <c r="EC47" s="488"/>
      <c r="ED47" s="488"/>
      <c r="EE47" s="488"/>
      <c r="EF47" s="488"/>
      <c r="EG47" s="488"/>
      <c r="EH47" s="488"/>
      <c r="EI47" s="488"/>
      <c r="EJ47" s="488"/>
      <c r="EK47" s="488"/>
      <c r="EL47" s="489"/>
      <c r="EM47" s="488"/>
      <c r="EN47" s="488"/>
      <c r="EO47" s="488"/>
      <c r="EP47" s="488"/>
      <c r="EQ47" s="488"/>
      <c r="ER47" s="488"/>
      <c r="ES47" s="488"/>
      <c r="ET47" s="488"/>
      <c r="EU47" s="488"/>
      <c r="EV47" s="489"/>
    </row>
    <row r="48" spans="1:152" s="496" customFormat="1" ht="13.5" customHeight="1">
      <c r="A48" s="53"/>
      <c r="B48" s="489"/>
      <c r="C48" s="489"/>
      <c r="D48" s="489"/>
      <c r="E48" s="489"/>
      <c r="F48" s="489"/>
      <c r="G48" s="489"/>
      <c r="H48" s="489"/>
      <c r="I48" s="489"/>
      <c r="J48" s="489"/>
      <c r="K48" s="489"/>
      <c r="L48" s="489"/>
      <c r="M48" s="489"/>
      <c r="N48" s="489"/>
      <c r="O48" s="489"/>
      <c r="P48" s="489"/>
      <c r="Q48" s="489"/>
      <c r="R48" s="489"/>
      <c r="S48" s="489"/>
      <c r="T48" s="489"/>
      <c r="U48" s="489"/>
      <c r="V48" s="489"/>
      <c r="W48" s="488"/>
      <c r="X48" s="488"/>
      <c r="Y48" s="488"/>
      <c r="Z48" s="488"/>
      <c r="AA48" s="488"/>
      <c r="AB48" s="488"/>
      <c r="AC48" s="488"/>
      <c r="AD48" s="488"/>
      <c r="AE48" s="488"/>
      <c r="AF48" s="489"/>
      <c r="AG48" s="488"/>
      <c r="AH48" s="488"/>
      <c r="AI48" s="488"/>
      <c r="AJ48" s="488"/>
      <c r="AK48" s="488"/>
      <c r="AL48" s="488"/>
      <c r="AM48" s="488"/>
      <c r="AN48" s="488"/>
      <c r="AO48" s="488"/>
      <c r="AP48" s="489"/>
      <c r="AQ48" s="488"/>
      <c r="AR48" s="488"/>
      <c r="AS48" s="488"/>
      <c r="AT48" s="488"/>
      <c r="AU48" s="488"/>
      <c r="AV48" s="488"/>
      <c r="AW48" s="488"/>
      <c r="AX48" s="488"/>
      <c r="AY48" s="488"/>
      <c r="AZ48" s="489"/>
      <c r="BA48" s="488"/>
      <c r="BB48" s="488"/>
      <c r="BC48" s="488"/>
      <c r="BD48" s="488"/>
      <c r="BE48" s="488"/>
      <c r="BF48" s="488"/>
      <c r="BG48" s="488"/>
      <c r="BH48" s="488"/>
      <c r="BI48" s="488"/>
      <c r="BJ48" s="489"/>
      <c r="BK48" s="488"/>
      <c r="BL48" s="488"/>
      <c r="BM48" s="488"/>
      <c r="BN48" s="488"/>
      <c r="BO48" s="488"/>
      <c r="BP48" s="488"/>
      <c r="BQ48" s="488"/>
      <c r="BR48" s="488"/>
      <c r="BS48" s="488"/>
      <c r="BT48" s="489"/>
      <c r="BU48" s="488"/>
      <c r="BV48" s="488"/>
      <c r="BW48" s="488"/>
      <c r="BX48" s="488"/>
      <c r="BY48" s="488"/>
      <c r="BZ48" s="488"/>
      <c r="CA48" s="488"/>
      <c r="CB48" s="488"/>
      <c r="CC48" s="488"/>
      <c r="CD48" s="489"/>
      <c r="CE48" s="488"/>
      <c r="CF48" s="488"/>
      <c r="CG48" s="488"/>
      <c r="CH48" s="488"/>
      <c r="CI48" s="488"/>
      <c r="CJ48" s="488"/>
      <c r="CK48" s="488"/>
      <c r="CL48" s="488"/>
      <c r="CM48" s="488"/>
      <c r="CN48" s="489"/>
      <c r="CO48" s="488"/>
      <c r="CP48" s="488"/>
      <c r="CQ48" s="488"/>
      <c r="CR48" s="488"/>
      <c r="CS48" s="488"/>
      <c r="CT48" s="488"/>
      <c r="CU48" s="488"/>
      <c r="CV48" s="488"/>
      <c r="CW48" s="488"/>
      <c r="CX48" s="489"/>
      <c r="CY48" s="488"/>
      <c r="CZ48" s="488"/>
      <c r="DA48" s="488"/>
      <c r="DB48" s="488"/>
      <c r="DC48" s="488"/>
      <c r="DD48" s="488"/>
      <c r="DE48" s="488"/>
      <c r="DF48" s="488"/>
      <c r="DG48" s="488"/>
      <c r="DH48" s="489"/>
      <c r="DI48" s="488"/>
      <c r="DJ48" s="488"/>
      <c r="DK48" s="488"/>
      <c r="DL48" s="488"/>
      <c r="DM48" s="488"/>
      <c r="DN48" s="488"/>
      <c r="DO48" s="488"/>
      <c r="DP48" s="488"/>
      <c r="DQ48" s="488"/>
      <c r="DR48" s="489"/>
      <c r="DS48" s="488"/>
      <c r="DT48" s="488"/>
      <c r="DU48" s="488"/>
      <c r="DV48" s="488"/>
      <c r="DW48" s="488"/>
      <c r="DX48" s="488"/>
      <c r="DY48" s="488"/>
      <c r="DZ48" s="488"/>
      <c r="EA48" s="488"/>
      <c r="EB48" s="489"/>
      <c r="EC48" s="488"/>
      <c r="ED48" s="488"/>
      <c r="EE48" s="488"/>
      <c r="EF48" s="488"/>
      <c r="EG48" s="488"/>
      <c r="EH48" s="488"/>
      <c r="EI48" s="488"/>
      <c r="EJ48" s="488"/>
      <c r="EK48" s="488"/>
      <c r="EL48" s="489"/>
      <c r="EM48" s="488"/>
      <c r="EN48" s="488"/>
      <c r="EO48" s="488"/>
      <c r="EP48" s="488"/>
      <c r="EQ48" s="488"/>
      <c r="ER48" s="488"/>
      <c r="ES48" s="488"/>
      <c r="ET48" s="488"/>
      <c r="EU48" s="488"/>
      <c r="EV48" s="489"/>
    </row>
    <row r="49" spans="1:152" s="496" customFormat="1" ht="13.5" customHeight="1">
      <c r="A49" s="53"/>
      <c r="B49" s="489"/>
      <c r="C49" s="489"/>
      <c r="D49" s="489"/>
      <c r="E49" s="489"/>
      <c r="F49" s="489"/>
      <c r="G49" s="489"/>
      <c r="H49" s="489"/>
      <c r="I49" s="489"/>
      <c r="J49" s="489"/>
      <c r="K49" s="489"/>
      <c r="L49" s="489"/>
      <c r="M49" s="489"/>
      <c r="N49" s="489"/>
      <c r="O49" s="489"/>
      <c r="P49" s="489"/>
      <c r="Q49" s="489"/>
      <c r="R49" s="489"/>
      <c r="S49" s="489"/>
      <c r="T49" s="489"/>
      <c r="U49" s="489"/>
      <c r="V49" s="489"/>
      <c r="W49" s="488"/>
      <c r="X49" s="488"/>
      <c r="Y49" s="488"/>
      <c r="Z49" s="488"/>
      <c r="AA49" s="488"/>
      <c r="AB49" s="488"/>
      <c r="AC49" s="488"/>
      <c r="AD49" s="488"/>
      <c r="AE49" s="488"/>
      <c r="AF49" s="489"/>
      <c r="AG49" s="488"/>
      <c r="AH49" s="488"/>
      <c r="AI49" s="488"/>
      <c r="AJ49" s="488"/>
      <c r="AK49" s="488"/>
      <c r="AL49" s="488"/>
      <c r="AM49" s="488"/>
      <c r="AN49" s="488"/>
      <c r="AO49" s="488"/>
      <c r="AP49" s="489"/>
      <c r="AQ49" s="488"/>
      <c r="AR49" s="488"/>
      <c r="AS49" s="488"/>
      <c r="AT49" s="488"/>
      <c r="AU49" s="488"/>
      <c r="AV49" s="488"/>
      <c r="AW49" s="488"/>
      <c r="AX49" s="488"/>
      <c r="AY49" s="488"/>
      <c r="AZ49" s="489"/>
      <c r="BA49" s="488"/>
      <c r="BB49" s="488"/>
      <c r="BC49" s="488"/>
      <c r="BD49" s="488"/>
      <c r="BE49" s="488"/>
      <c r="BF49" s="488"/>
      <c r="BG49" s="488"/>
      <c r="BH49" s="488"/>
      <c r="BI49" s="488"/>
      <c r="BJ49" s="489"/>
      <c r="BK49" s="488"/>
      <c r="BL49" s="488"/>
      <c r="BM49" s="488"/>
      <c r="BN49" s="488"/>
      <c r="BO49" s="488"/>
      <c r="BP49" s="488"/>
      <c r="BQ49" s="488"/>
      <c r="BR49" s="488"/>
      <c r="BS49" s="488"/>
      <c r="BT49" s="489"/>
      <c r="BU49" s="488"/>
      <c r="BV49" s="488"/>
      <c r="BW49" s="488"/>
      <c r="BX49" s="488"/>
      <c r="BY49" s="488"/>
      <c r="BZ49" s="488"/>
      <c r="CA49" s="488"/>
      <c r="CB49" s="488"/>
      <c r="CC49" s="488"/>
      <c r="CD49" s="489"/>
      <c r="CE49" s="488"/>
      <c r="CF49" s="488"/>
      <c r="CG49" s="488"/>
      <c r="CH49" s="488"/>
      <c r="CI49" s="488"/>
      <c r="CJ49" s="488"/>
      <c r="CK49" s="488"/>
      <c r="CL49" s="488"/>
      <c r="CM49" s="488"/>
      <c r="CN49" s="489"/>
      <c r="CO49" s="488"/>
      <c r="CP49" s="488"/>
      <c r="CQ49" s="488"/>
      <c r="CR49" s="488"/>
      <c r="CS49" s="488"/>
      <c r="CT49" s="488"/>
      <c r="CU49" s="488"/>
      <c r="CV49" s="488"/>
      <c r="CW49" s="488"/>
      <c r="CX49" s="489"/>
      <c r="CY49" s="488"/>
      <c r="CZ49" s="488"/>
      <c r="DA49" s="488"/>
      <c r="DB49" s="488"/>
      <c r="DC49" s="488"/>
      <c r="DD49" s="488"/>
      <c r="DE49" s="488"/>
      <c r="DF49" s="488"/>
      <c r="DG49" s="488"/>
      <c r="DH49" s="489"/>
      <c r="DI49" s="488"/>
      <c r="DJ49" s="488"/>
      <c r="DK49" s="488"/>
      <c r="DL49" s="488"/>
      <c r="DM49" s="488"/>
      <c r="DN49" s="488"/>
      <c r="DO49" s="488"/>
      <c r="DP49" s="488"/>
      <c r="DQ49" s="488"/>
      <c r="DR49" s="489"/>
      <c r="DS49" s="488"/>
      <c r="DT49" s="488"/>
      <c r="DU49" s="488"/>
      <c r="DV49" s="488"/>
      <c r="DW49" s="488"/>
      <c r="DX49" s="488"/>
      <c r="DY49" s="488"/>
      <c r="DZ49" s="488"/>
      <c r="EA49" s="488"/>
      <c r="EB49" s="489"/>
      <c r="EC49" s="488"/>
      <c r="ED49" s="488"/>
      <c r="EE49" s="488"/>
      <c r="EF49" s="488"/>
      <c r="EG49" s="488"/>
      <c r="EH49" s="488"/>
      <c r="EI49" s="488"/>
      <c r="EJ49" s="488"/>
      <c r="EK49" s="488"/>
      <c r="EL49" s="489"/>
      <c r="EM49" s="488"/>
      <c r="EN49" s="488"/>
      <c r="EO49" s="488"/>
      <c r="EP49" s="488"/>
      <c r="EQ49" s="488"/>
      <c r="ER49" s="488"/>
      <c r="ES49" s="488"/>
      <c r="ET49" s="488"/>
      <c r="EU49" s="488"/>
      <c r="EV49" s="489"/>
    </row>
    <row r="50" spans="1:152" s="496" customFormat="1" ht="13.5" customHeight="1">
      <c r="A50" s="69" t="s">
        <v>52</v>
      </c>
      <c r="D50" s="1263" t="s">
        <v>14</v>
      </c>
      <c r="E50" s="1263"/>
      <c r="F50" s="1263"/>
      <c r="G50" s="1263"/>
      <c r="AF50" s="497"/>
      <c r="AP50" s="497"/>
      <c r="AZ50" s="497"/>
      <c r="BA50" s="494"/>
      <c r="BB50" s="494"/>
      <c r="BC50" s="494"/>
      <c r="BD50" s="494"/>
      <c r="BE50" s="494"/>
      <c r="BF50" s="494"/>
      <c r="BG50" s="494"/>
      <c r="BH50" s="494"/>
      <c r="BI50" s="494"/>
      <c r="BJ50" s="497"/>
      <c r="BK50" s="494"/>
      <c r="BL50" s="494"/>
      <c r="BM50" s="494"/>
      <c r="BN50" s="494"/>
      <c r="BO50" s="494"/>
      <c r="BP50" s="494"/>
      <c r="BQ50" s="494"/>
      <c r="BR50" s="494"/>
      <c r="BS50" s="494"/>
      <c r="BT50" s="497"/>
      <c r="BU50" s="494"/>
      <c r="BV50" s="494"/>
      <c r="BW50" s="494"/>
      <c r="BX50" s="494"/>
      <c r="BY50" s="494"/>
      <c r="BZ50" s="494"/>
      <c r="CA50" s="494"/>
      <c r="CB50" s="494"/>
      <c r="CC50" s="494"/>
      <c r="CD50" s="497"/>
      <c r="CE50" s="494"/>
      <c r="CF50" s="494"/>
      <c r="CG50" s="494"/>
      <c r="CH50" s="494"/>
      <c r="CI50" s="494"/>
      <c r="CJ50" s="494"/>
      <c r="CK50" s="494"/>
      <c r="CL50" s="494"/>
      <c r="CM50" s="494"/>
      <c r="CN50" s="497"/>
      <c r="CO50" s="494"/>
      <c r="CP50" s="494"/>
      <c r="CQ50" s="494"/>
      <c r="CR50" s="494"/>
      <c r="CS50" s="494"/>
      <c r="CT50" s="494"/>
      <c r="CU50" s="494"/>
      <c r="CV50" s="494"/>
      <c r="CW50" s="494"/>
      <c r="CX50" s="497"/>
      <c r="CY50" s="494"/>
      <c r="CZ50" s="494"/>
      <c r="DA50" s="494"/>
      <c r="DB50" s="494"/>
      <c r="DC50" s="494"/>
      <c r="DD50" s="494"/>
      <c r="DE50" s="494"/>
      <c r="DF50" s="494"/>
      <c r="DG50" s="494"/>
      <c r="DH50" s="497"/>
      <c r="DI50" s="494"/>
      <c r="DJ50" s="494"/>
      <c r="DK50" s="494"/>
      <c r="DL50" s="494"/>
      <c r="DM50" s="494"/>
      <c r="DN50" s="494"/>
      <c r="DO50" s="494"/>
      <c r="DP50" s="494"/>
      <c r="DQ50" s="494"/>
      <c r="DR50" s="497"/>
      <c r="DS50" s="494"/>
      <c r="DT50" s="494"/>
      <c r="DU50" s="494"/>
      <c r="DV50" s="494"/>
      <c r="DW50" s="494"/>
      <c r="DX50" s="494"/>
      <c r="DY50" s="494"/>
      <c r="DZ50" s="494"/>
      <c r="EA50" s="494"/>
      <c r="EB50" s="489"/>
      <c r="EC50" s="494"/>
      <c r="ED50" s="494"/>
      <c r="EE50" s="494"/>
      <c r="EF50" s="494"/>
      <c r="EG50" s="494"/>
      <c r="EH50" s="494"/>
      <c r="EI50" s="494"/>
      <c r="EJ50" s="494"/>
      <c r="EK50" s="494"/>
      <c r="EL50" s="489"/>
      <c r="EM50" s="494"/>
      <c r="EN50" s="494"/>
      <c r="EO50" s="494"/>
      <c r="EP50" s="494"/>
      <c r="EQ50" s="494"/>
      <c r="ER50" s="494"/>
      <c r="ES50" s="494"/>
      <c r="ET50" s="494"/>
      <c r="EU50" s="494"/>
      <c r="EV50" s="489"/>
    </row>
    <row r="51" spans="1:152" s="485" customFormat="1" ht="13.5" customHeight="1">
      <c r="A51" s="483" t="s">
        <v>43</v>
      </c>
      <c r="B51" s="484">
        <v>0</v>
      </c>
      <c r="C51" s="484">
        <v>0</v>
      </c>
      <c r="D51" s="484">
        <v>0</v>
      </c>
      <c r="E51" s="484">
        <v>0</v>
      </c>
      <c r="F51" s="1271">
        <v>7</v>
      </c>
      <c r="G51" s="484">
        <v>0</v>
      </c>
      <c r="H51" s="484">
        <v>0</v>
      </c>
      <c r="I51" s="484">
        <v>0</v>
      </c>
      <c r="J51" s="484">
        <v>0</v>
      </c>
      <c r="K51" s="1271">
        <v>0</v>
      </c>
      <c r="L51" s="484">
        <v>0</v>
      </c>
      <c r="M51" s="484">
        <v>0</v>
      </c>
      <c r="N51" s="484">
        <v>0</v>
      </c>
      <c r="O51" s="484">
        <v>0</v>
      </c>
      <c r="P51" s="1271">
        <v>0</v>
      </c>
      <c r="Q51" s="484">
        <v>0</v>
      </c>
      <c r="R51" s="484">
        <v>0</v>
      </c>
      <c r="S51" s="484">
        <v>0</v>
      </c>
      <c r="T51" s="484">
        <v>0</v>
      </c>
      <c r="U51" s="1271">
        <v>0</v>
      </c>
      <c r="V51" s="484">
        <v>0</v>
      </c>
      <c r="W51" s="484">
        <v>0</v>
      </c>
      <c r="X51" s="484">
        <v>0</v>
      </c>
      <c r="Y51" s="484">
        <v>0</v>
      </c>
      <c r="Z51" s="1271">
        <v>0</v>
      </c>
      <c r="AA51" s="484">
        <v>0</v>
      </c>
      <c r="AB51" s="484">
        <v>0</v>
      </c>
      <c r="AC51" s="484">
        <v>0</v>
      </c>
      <c r="AD51" s="484">
        <v>0</v>
      </c>
      <c r="AE51" s="1271">
        <v>0</v>
      </c>
      <c r="AF51" s="484">
        <v>0</v>
      </c>
      <c r="AG51" s="484">
        <v>0</v>
      </c>
      <c r="AH51" s="484">
        <v>0</v>
      </c>
      <c r="AI51" s="484">
        <v>0</v>
      </c>
      <c r="AJ51" s="1271">
        <v>0</v>
      </c>
      <c r="AK51" s="484">
        <v>0</v>
      </c>
      <c r="AL51" s="484">
        <v>0</v>
      </c>
      <c r="AM51" s="484">
        <v>0</v>
      </c>
      <c r="AN51" s="484">
        <v>0</v>
      </c>
      <c r="AO51" s="1271">
        <v>0</v>
      </c>
      <c r="AP51" s="484">
        <v>0</v>
      </c>
      <c r="AQ51" s="484">
        <v>0</v>
      </c>
      <c r="AR51" s="484">
        <v>0</v>
      </c>
      <c r="AS51" s="484">
        <v>0</v>
      </c>
      <c r="AT51" s="1271">
        <v>0</v>
      </c>
      <c r="AU51" s="484">
        <v>0</v>
      </c>
      <c r="AV51" s="484">
        <v>0</v>
      </c>
      <c r="AW51" s="484">
        <v>0</v>
      </c>
      <c r="AX51" s="484">
        <v>0</v>
      </c>
      <c r="AY51" s="1271">
        <v>0</v>
      </c>
      <c r="AZ51" s="484">
        <v>0</v>
      </c>
      <c r="BA51" s="484">
        <v>0</v>
      </c>
      <c r="BB51" s="484">
        <v>0</v>
      </c>
      <c r="BC51" s="484">
        <v>0</v>
      </c>
      <c r="BD51" s="1271">
        <v>0</v>
      </c>
      <c r="BE51" s="484">
        <v>0</v>
      </c>
      <c r="BF51" s="484">
        <v>0</v>
      </c>
      <c r="BG51" s="484">
        <v>0</v>
      </c>
      <c r="BH51" s="484">
        <v>0</v>
      </c>
      <c r="BI51" s="1271">
        <v>0</v>
      </c>
      <c r="BJ51" s="484">
        <v>0</v>
      </c>
      <c r="BK51" s="484">
        <v>0</v>
      </c>
      <c r="BL51" s="484">
        <v>0</v>
      </c>
      <c r="BM51" s="484">
        <v>0</v>
      </c>
      <c r="BN51" s="484">
        <v>0</v>
      </c>
      <c r="BO51" s="484">
        <v>0</v>
      </c>
      <c r="BP51" s="484">
        <v>0</v>
      </c>
      <c r="BQ51" s="484">
        <v>0</v>
      </c>
      <c r="BR51" s="484">
        <v>0</v>
      </c>
      <c r="BS51" s="484">
        <v>0</v>
      </c>
      <c r="BT51" s="484">
        <v>0</v>
      </c>
      <c r="BU51" s="484">
        <v>0</v>
      </c>
      <c r="BV51" s="484">
        <v>0</v>
      </c>
      <c r="BW51" s="484">
        <v>0</v>
      </c>
      <c r="BX51" s="484">
        <v>0</v>
      </c>
      <c r="BY51" s="484">
        <v>0</v>
      </c>
      <c r="BZ51" s="484">
        <v>0</v>
      </c>
      <c r="CA51" s="484">
        <v>0</v>
      </c>
      <c r="CB51" s="484">
        <v>0</v>
      </c>
      <c r="CC51" s="484">
        <v>0</v>
      </c>
      <c r="CD51" s="484">
        <v>0</v>
      </c>
      <c r="CE51" s="484">
        <v>0</v>
      </c>
      <c r="CF51" s="484">
        <v>0</v>
      </c>
      <c r="CG51" s="484">
        <v>0</v>
      </c>
      <c r="CH51" s="484">
        <v>0</v>
      </c>
      <c r="CI51" s="484">
        <v>0</v>
      </c>
      <c r="CJ51" s="484">
        <v>0</v>
      </c>
      <c r="CK51" s="484">
        <v>0</v>
      </c>
      <c r="CL51" s="484">
        <v>0</v>
      </c>
      <c r="CM51" s="484">
        <v>0</v>
      </c>
      <c r="CN51" s="484">
        <v>0</v>
      </c>
      <c r="CO51" s="484">
        <v>0</v>
      </c>
      <c r="CP51" s="484">
        <v>0</v>
      </c>
      <c r="CQ51" s="484">
        <v>0</v>
      </c>
      <c r="CR51" s="484">
        <v>0</v>
      </c>
      <c r="CS51" s="484">
        <v>0</v>
      </c>
      <c r="CT51" s="484">
        <v>0</v>
      </c>
      <c r="CU51" s="484">
        <v>0</v>
      </c>
      <c r="CV51" s="484">
        <v>0</v>
      </c>
      <c r="CW51" s="484">
        <v>0</v>
      </c>
      <c r="CX51" s="484">
        <v>0</v>
      </c>
      <c r="CY51" s="484">
        <v>0</v>
      </c>
      <c r="CZ51" s="484">
        <v>0</v>
      </c>
      <c r="DA51" s="484">
        <v>0</v>
      </c>
      <c r="DB51" s="484">
        <v>0</v>
      </c>
      <c r="DC51" s="484">
        <v>0</v>
      </c>
      <c r="DD51" s="484">
        <v>0</v>
      </c>
      <c r="DE51" s="484">
        <v>0</v>
      </c>
      <c r="DF51" s="484">
        <v>0</v>
      </c>
      <c r="DG51" s="484">
        <v>0</v>
      </c>
      <c r="DH51" s="484">
        <v>0</v>
      </c>
      <c r="DI51" s="484">
        <v>0</v>
      </c>
      <c r="DJ51" s="484">
        <v>0</v>
      </c>
      <c r="DK51" s="484">
        <v>0</v>
      </c>
      <c r="DL51" s="484">
        <v>0</v>
      </c>
      <c r="DM51" s="484">
        <v>0</v>
      </c>
      <c r="DN51" s="484">
        <v>0</v>
      </c>
      <c r="DO51" s="484">
        <v>0</v>
      </c>
      <c r="DP51" s="484">
        <v>0</v>
      </c>
      <c r="DQ51" s="484">
        <v>0</v>
      </c>
      <c r="DR51" s="484">
        <v>0</v>
      </c>
      <c r="DS51" s="484">
        <v>0</v>
      </c>
      <c r="DT51" s="484">
        <v>0</v>
      </c>
      <c r="DU51" s="484">
        <v>0</v>
      </c>
      <c r="DV51" s="484">
        <v>0</v>
      </c>
      <c r="DW51" s="484">
        <v>0</v>
      </c>
      <c r="DX51" s="484">
        <v>0</v>
      </c>
      <c r="DY51" s="484">
        <v>0</v>
      </c>
      <c r="DZ51" s="484">
        <v>0</v>
      </c>
      <c r="EA51" s="484">
        <v>0</v>
      </c>
      <c r="EB51" s="484">
        <v>0</v>
      </c>
      <c r="EC51" s="484">
        <v>0</v>
      </c>
      <c r="ED51" s="484">
        <v>0</v>
      </c>
      <c r="EE51" s="484">
        <v>0</v>
      </c>
      <c r="EF51" s="484">
        <v>0</v>
      </c>
      <c r="EG51" s="484">
        <v>0</v>
      </c>
      <c r="EH51" s="484">
        <v>0</v>
      </c>
      <c r="EI51" s="484">
        <v>0</v>
      </c>
      <c r="EJ51" s="484">
        <v>0</v>
      </c>
      <c r="EK51" s="484">
        <v>0</v>
      </c>
      <c r="EL51" s="484">
        <v>0</v>
      </c>
      <c r="EM51" s="484">
        <v>0</v>
      </c>
      <c r="EN51" s="484">
        <v>0</v>
      </c>
      <c r="EO51" s="484">
        <v>0</v>
      </c>
      <c r="EP51" s="484">
        <v>0</v>
      </c>
      <c r="EQ51" s="484">
        <v>0</v>
      </c>
      <c r="ER51" s="484">
        <v>0</v>
      </c>
      <c r="ES51" s="484">
        <v>0</v>
      </c>
      <c r="ET51" s="484">
        <v>0</v>
      </c>
      <c r="EU51" s="484">
        <v>0</v>
      </c>
      <c r="EV51" s="484">
        <v>0</v>
      </c>
    </row>
    <row r="52" spans="1:152" s="485" customFormat="1" ht="13.5" customHeight="1">
      <c r="A52" s="6" t="s">
        <v>7</v>
      </c>
      <c r="B52" s="1274">
        <v>10</v>
      </c>
      <c r="C52" s="1274">
        <v>10</v>
      </c>
      <c r="D52" s="1274">
        <v>10</v>
      </c>
      <c r="E52" s="1274">
        <v>10</v>
      </c>
      <c r="F52" s="1274">
        <v>10</v>
      </c>
      <c r="G52" s="1274">
        <v>10</v>
      </c>
      <c r="H52" s="1274">
        <v>10</v>
      </c>
      <c r="I52" s="1274">
        <v>10</v>
      </c>
      <c r="J52" s="1274">
        <v>10</v>
      </c>
      <c r="K52" s="1274">
        <v>10</v>
      </c>
      <c r="L52" s="1274">
        <v>10</v>
      </c>
      <c r="M52" s="1274">
        <v>10</v>
      </c>
      <c r="N52" s="1274">
        <v>10</v>
      </c>
      <c r="O52" s="1274">
        <v>10</v>
      </c>
      <c r="P52" s="1274">
        <v>10</v>
      </c>
      <c r="Q52" s="1274">
        <v>10</v>
      </c>
      <c r="R52" s="1274">
        <v>10</v>
      </c>
      <c r="S52" s="1274">
        <v>10</v>
      </c>
      <c r="T52" s="1274">
        <v>10</v>
      </c>
      <c r="U52" s="1274">
        <v>10</v>
      </c>
      <c r="V52" s="1271">
        <v>10</v>
      </c>
      <c r="W52" s="1274">
        <v>9.88</v>
      </c>
      <c r="X52" s="1274">
        <v>9.76</v>
      </c>
      <c r="Y52" s="1274">
        <v>9.64</v>
      </c>
      <c r="Z52" s="1274">
        <v>9.52</v>
      </c>
      <c r="AA52" s="1274">
        <v>9.4</v>
      </c>
      <c r="AB52" s="1274">
        <v>9.28</v>
      </c>
      <c r="AC52" s="1274">
        <v>9.160000000000005</v>
      </c>
      <c r="AD52" s="1274">
        <v>9.040000000000006</v>
      </c>
      <c r="AE52" s="1274">
        <v>8.920000000000007</v>
      </c>
      <c r="AF52" s="1271">
        <v>8.8</v>
      </c>
      <c r="AG52" s="1274">
        <v>8.65</v>
      </c>
      <c r="AH52" s="1274">
        <v>8.5</v>
      </c>
      <c r="AI52" s="1274">
        <v>8.35</v>
      </c>
      <c r="AJ52" s="1274">
        <v>8.2</v>
      </c>
      <c r="AK52" s="1274">
        <v>8.05</v>
      </c>
      <c r="AL52" s="1274">
        <v>7.9</v>
      </c>
      <c r="AM52" s="1274">
        <v>7.75</v>
      </c>
      <c r="AN52" s="1274">
        <v>7.6</v>
      </c>
      <c r="AO52" s="1274">
        <v>7.45</v>
      </c>
      <c r="AP52" s="1271">
        <v>7.3</v>
      </c>
      <c r="AQ52" s="1274">
        <v>7.07</v>
      </c>
      <c r="AR52" s="1274">
        <v>6.84</v>
      </c>
      <c r="AS52" s="1274">
        <v>6.61</v>
      </c>
      <c r="AT52" s="1274">
        <v>6.38</v>
      </c>
      <c r="AU52" s="1274">
        <v>6.15</v>
      </c>
      <c r="AV52" s="1274">
        <v>5.92</v>
      </c>
      <c r="AW52" s="1274">
        <v>5.69</v>
      </c>
      <c r="AX52" s="1274">
        <v>5.46</v>
      </c>
      <c r="AY52" s="1274">
        <v>5.23</v>
      </c>
      <c r="AZ52" s="1271">
        <v>5</v>
      </c>
      <c r="BA52" s="1274">
        <v>4.83</v>
      </c>
      <c r="BB52" s="1274">
        <v>4.66</v>
      </c>
      <c r="BC52" s="1274">
        <v>4.49</v>
      </c>
      <c r="BD52" s="1274">
        <v>4.32</v>
      </c>
      <c r="BE52" s="1274">
        <v>4.15</v>
      </c>
      <c r="BF52" s="1274">
        <v>3.98</v>
      </c>
      <c r="BG52" s="1274">
        <v>3.81</v>
      </c>
      <c r="BH52" s="1274">
        <v>3.64</v>
      </c>
      <c r="BI52" s="1274">
        <v>3.47</v>
      </c>
      <c r="BJ52" s="1271">
        <v>3.3</v>
      </c>
      <c r="BK52" s="1274">
        <v>0</v>
      </c>
      <c r="BL52" s="1274">
        <v>0</v>
      </c>
      <c r="BM52" s="1274">
        <v>0</v>
      </c>
      <c r="BN52" s="1274">
        <v>0</v>
      </c>
      <c r="BO52" s="1274">
        <v>0</v>
      </c>
      <c r="BP52" s="1274">
        <v>0</v>
      </c>
      <c r="BQ52" s="1274">
        <v>0</v>
      </c>
      <c r="BR52" s="1274">
        <v>0</v>
      </c>
      <c r="BS52" s="1274">
        <v>0</v>
      </c>
      <c r="BT52" s="1271">
        <v>0</v>
      </c>
      <c r="BU52" s="1274">
        <v>0</v>
      </c>
      <c r="BV52" s="1274">
        <v>0</v>
      </c>
      <c r="BW52" s="1274">
        <v>0</v>
      </c>
      <c r="BX52" s="1274">
        <v>0</v>
      </c>
      <c r="BY52" s="1274">
        <v>0</v>
      </c>
      <c r="BZ52" s="1274">
        <v>0</v>
      </c>
      <c r="CA52" s="1274">
        <v>0</v>
      </c>
      <c r="CB52" s="1274">
        <v>0</v>
      </c>
      <c r="CC52" s="1274">
        <v>0</v>
      </c>
      <c r="CD52" s="1271">
        <v>0</v>
      </c>
      <c r="CE52" s="1274">
        <v>0</v>
      </c>
      <c r="CF52" s="1274">
        <v>0</v>
      </c>
      <c r="CG52" s="1274">
        <v>0</v>
      </c>
      <c r="CH52" s="1274">
        <v>0</v>
      </c>
      <c r="CI52" s="1274">
        <v>0</v>
      </c>
      <c r="CJ52" s="1274">
        <v>0</v>
      </c>
      <c r="CK52" s="1274">
        <v>0</v>
      </c>
      <c r="CL52" s="1274">
        <v>0</v>
      </c>
      <c r="CM52" s="1274">
        <v>0</v>
      </c>
      <c r="CN52" s="1271">
        <v>0</v>
      </c>
      <c r="CO52" s="1274">
        <v>0</v>
      </c>
      <c r="CP52" s="1274">
        <v>0</v>
      </c>
      <c r="CQ52" s="1274">
        <v>0</v>
      </c>
      <c r="CR52" s="1274">
        <v>0</v>
      </c>
      <c r="CS52" s="1274">
        <v>0</v>
      </c>
      <c r="CT52" s="1274">
        <v>0</v>
      </c>
      <c r="CU52" s="1274">
        <v>0</v>
      </c>
      <c r="CV52" s="1274">
        <v>0</v>
      </c>
      <c r="CW52" s="1274">
        <v>0</v>
      </c>
      <c r="CX52" s="1271">
        <v>0</v>
      </c>
      <c r="CY52" s="1274">
        <v>0</v>
      </c>
      <c r="CZ52" s="1274">
        <v>0</v>
      </c>
      <c r="DA52" s="1274">
        <v>0</v>
      </c>
      <c r="DB52" s="1274">
        <v>0</v>
      </c>
      <c r="DC52" s="1274">
        <v>0</v>
      </c>
      <c r="DD52" s="1274">
        <v>0</v>
      </c>
      <c r="DE52" s="1274">
        <v>0</v>
      </c>
      <c r="DF52" s="1274">
        <v>0</v>
      </c>
      <c r="DG52" s="1274">
        <v>0</v>
      </c>
      <c r="DH52" s="1271">
        <v>0</v>
      </c>
      <c r="DI52" s="1274">
        <v>0</v>
      </c>
      <c r="DJ52" s="1274">
        <v>0</v>
      </c>
      <c r="DK52" s="1274">
        <v>0</v>
      </c>
      <c r="DL52" s="1274">
        <v>0</v>
      </c>
      <c r="DM52" s="1274">
        <v>0</v>
      </c>
      <c r="DN52" s="1274">
        <v>0</v>
      </c>
      <c r="DO52" s="1274">
        <v>0</v>
      </c>
      <c r="DP52" s="1274">
        <v>0</v>
      </c>
      <c r="DQ52" s="1274">
        <v>0</v>
      </c>
      <c r="DR52" s="1271">
        <v>0</v>
      </c>
      <c r="DS52" s="1274">
        <v>0</v>
      </c>
      <c r="DT52" s="1274">
        <v>0</v>
      </c>
      <c r="DU52" s="1274">
        <v>0</v>
      </c>
      <c r="DV52" s="1274">
        <v>0</v>
      </c>
      <c r="DW52" s="1274">
        <v>0</v>
      </c>
      <c r="DX52" s="1274">
        <v>0</v>
      </c>
      <c r="DY52" s="1274">
        <v>0</v>
      </c>
      <c r="DZ52" s="1274">
        <v>0</v>
      </c>
      <c r="EA52" s="1274">
        <v>0</v>
      </c>
      <c r="EB52" s="1271">
        <v>0</v>
      </c>
      <c r="EC52" s="1274">
        <v>0</v>
      </c>
      <c r="ED52" s="1274">
        <v>0</v>
      </c>
      <c r="EE52" s="1274">
        <v>0</v>
      </c>
      <c r="EF52" s="1274">
        <v>0</v>
      </c>
      <c r="EG52" s="1274">
        <v>0</v>
      </c>
      <c r="EH52" s="1274">
        <v>0</v>
      </c>
      <c r="EI52" s="1274">
        <v>0</v>
      </c>
      <c r="EJ52" s="1274">
        <v>0</v>
      </c>
      <c r="EK52" s="1274">
        <v>0</v>
      </c>
      <c r="EL52" s="1271">
        <v>0</v>
      </c>
      <c r="EM52" s="1274">
        <v>0</v>
      </c>
      <c r="EN52" s="1274">
        <v>0</v>
      </c>
      <c r="EO52" s="1274">
        <v>0</v>
      </c>
      <c r="EP52" s="1274">
        <v>0</v>
      </c>
      <c r="EQ52" s="1274">
        <v>0</v>
      </c>
      <c r="ER52" s="1274">
        <v>0</v>
      </c>
      <c r="ES52" s="1274">
        <v>0</v>
      </c>
      <c r="ET52" s="1274">
        <v>0</v>
      </c>
      <c r="EU52" s="1274">
        <v>0</v>
      </c>
      <c r="EV52" s="1271">
        <v>0</v>
      </c>
    </row>
    <row r="53" s="496" customFormat="1" ht="13.5" customHeight="1"/>
    <row r="54" spans="1:152" s="496" customFormat="1" ht="13.5" customHeight="1">
      <c r="A54" s="53"/>
      <c r="B54" s="488"/>
      <c r="C54" s="488"/>
      <c r="D54" s="488"/>
      <c r="E54" s="488"/>
      <c r="F54" s="488"/>
      <c r="G54" s="488"/>
      <c r="H54" s="488"/>
      <c r="I54" s="488"/>
      <c r="J54" s="488"/>
      <c r="K54" s="488"/>
      <c r="L54" s="488"/>
      <c r="M54" s="488"/>
      <c r="N54" s="488"/>
      <c r="O54" s="488"/>
      <c r="P54" s="488"/>
      <c r="Q54" s="488"/>
      <c r="R54" s="488"/>
      <c r="S54" s="488"/>
      <c r="T54" s="488"/>
      <c r="U54" s="488"/>
      <c r="V54" s="489"/>
      <c r="W54" s="488"/>
      <c r="X54" s="488"/>
      <c r="Y54" s="488"/>
      <c r="Z54" s="488"/>
      <c r="AA54" s="488"/>
      <c r="AB54" s="488"/>
      <c r="AC54" s="488"/>
      <c r="AD54" s="488"/>
      <c r="AE54" s="488"/>
      <c r="AF54" s="489"/>
      <c r="AG54" s="488"/>
      <c r="AH54" s="488"/>
      <c r="AI54" s="488"/>
      <c r="AJ54" s="488"/>
      <c r="AK54" s="488"/>
      <c r="AL54" s="488"/>
      <c r="AM54" s="488"/>
      <c r="AN54" s="488"/>
      <c r="AO54" s="488"/>
      <c r="AP54" s="489"/>
      <c r="AQ54" s="488"/>
      <c r="AR54" s="488"/>
      <c r="AS54" s="488"/>
      <c r="AT54" s="488"/>
      <c r="AU54" s="488"/>
      <c r="AV54" s="488"/>
      <c r="AW54" s="488"/>
      <c r="AX54" s="488"/>
      <c r="AY54" s="488"/>
      <c r="AZ54" s="489"/>
      <c r="BA54" s="488"/>
      <c r="BB54" s="488"/>
      <c r="BC54" s="488"/>
      <c r="BD54" s="488"/>
      <c r="BE54" s="488"/>
      <c r="BF54" s="488"/>
      <c r="BG54" s="488"/>
      <c r="BH54" s="488"/>
      <c r="BI54" s="488"/>
      <c r="BJ54" s="489"/>
      <c r="BK54" s="488"/>
      <c r="BL54" s="488"/>
      <c r="BM54" s="488"/>
      <c r="BN54" s="488"/>
      <c r="BO54" s="488"/>
      <c r="BP54" s="488"/>
      <c r="BQ54" s="488"/>
      <c r="BR54" s="488"/>
      <c r="BS54" s="488"/>
      <c r="BT54" s="489"/>
      <c r="BU54" s="488"/>
      <c r="BV54" s="488"/>
      <c r="BW54" s="488"/>
      <c r="BX54" s="488"/>
      <c r="BY54" s="488"/>
      <c r="BZ54" s="488"/>
      <c r="CA54" s="488"/>
      <c r="CB54" s="488"/>
      <c r="CC54" s="488"/>
      <c r="CD54" s="489"/>
      <c r="CE54" s="488"/>
      <c r="CF54" s="488"/>
      <c r="CG54" s="488"/>
      <c r="CH54" s="488"/>
      <c r="CI54" s="488"/>
      <c r="CJ54" s="488"/>
      <c r="CK54" s="488"/>
      <c r="CL54" s="488"/>
      <c r="CM54" s="488"/>
      <c r="CN54" s="489"/>
      <c r="CO54" s="488"/>
      <c r="CP54" s="488"/>
      <c r="CQ54" s="488"/>
      <c r="CR54" s="488"/>
      <c r="CS54" s="488"/>
      <c r="CT54" s="488"/>
      <c r="CU54" s="488"/>
      <c r="CV54" s="488"/>
      <c r="CW54" s="488"/>
      <c r="CX54" s="489"/>
      <c r="CY54" s="488"/>
      <c r="CZ54" s="488"/>
      <c r="DA54" s="488"/>
      <c r="DB54" s="488"/>
      <c r="DC54" s="488"/>
      <c r="DD54" s="488"/>
      <c r="DE54" s="488"/>
      <c r="DF54" s="488"/>
      <c r="DG54" s="488"/>
      <c r="DH54" s="489"/>
      <c r="DI54" s="488"/>
      <c r="DJ54" s="488"/>
      <c r="DK54" s="488"/>
      <c r="DL54" s="488"/>
      <c r="DM54" s="488"/>
      <c r="DN54" s="488"/>
      <c r="DO54" s="488"/>
      <c r="DP54" s="488"/>
      <c r="DQ54" s="488"/>
      <c r="DR54" s="489"/>
      <c r="DS54" s="488"/>
      <c r="DT54" s="488"/>
      <c r="DU54" s="488"/>
      <c r="DV54" s="488"/>
      <c r="DW54" s="488"/>
      <c r="DX54" s="488"/>
      <c r="DY54" s="488"/>
      <c r="DZ54" s="488"/>
      <c r="EA54" s="488"/>
      <c r="EB54" s="489"/>
      <c r="EC54" s="488"/>
      <c r="ED54" s="488"/>
      <c r="EE54" s="488"/>
      <c r="EF54" s="488"/>
      <c r="EG54" s="488"/>
      <c r="EH54" s="488"/>
      <c r="EI54" s="488"/>
      <c r="EJ54" s="488"/>
      <c r="EK54" s="488"/>
      <c r="EL54" s="489"/>
      <c r="EM54" s="488"/>
      <c r="EN54" s="488"/>
      <c r="EO54" s="488"/>
      <c r="EP54" s="488"/>
      <c r="EQ54" s="488"/>
      <c r="ER54" s="488"/>
      <c r="ES54" s="488"/>
      <c r="ET54" s="488"/>
      <c r="EU54" s="488"/>
      <c r="EV54" s="489"/>
    </row>
    <row r="55" spans="1:152" s="496" customFormat="1" ht="13.5" customHeight="1">
      <c r="A55" s="53"/>
      <c r="B55" s="488"/>
      <c r="C55" s="488"/>
      <c r="D55" s="488"/>
      <c r="E55" s="488"/>
      <c r="F55" s="488"/>
      <c r="G55" s="488"/>
      <c r="H55" s="488"/>
      <c r="I55" s="488"/>
      <c r="J55" s="488"/>
      <c r="K55" s="488"/>
      <c r="L55" s="488"/>
      <c r="M55" s="488"/>
      <c r="N55" s="488"/>
      <c r="O55" s="488"/>
      <c r="P55" s="488"/>
      <c r="Q55" s="488"/>
      <c r="R55" s="488"/>
      <c r="S55" s="488"/>
      <c r="T55" s="488"/>
      <c r="U55" s="488"/>
      <c r="V55" s="489"/>
      <c r="W55" s="488"/>
      <c r="X55" s="488"/>
      <c r="Y55" s="488"/>
      <c r="Z55" s="488"/>
      <c r="AA55" s="488"/>
      <c r="AB55" s="488"/>
      <c r="AC55" s="488"/>
      <c r="AD55" s="488"/>
      <c r="AE55" s="488"/>
      <c r="AF55" s="489"/>
      <c r="AG55" s="488"/>
      <c r="AH55" s="488"/>
      <c r="AI55" s="488"/>
      <c r="AJ55" s="488"/>
      <c r="AK55" s="488"/>
      <c r="AL55" s="488"/>
      <c r="AM55" s="488"/>
      <c r="AN55" s="488"/>
      <c r="AO55" s="488"/>
      <c r="AP55" s="489"/>
      <c r="AQ55" s="488"/>
      <c r="AR55" s="488"/>
      <c r="AS55" s="488"/>
      <c r="AT55" s="488"/>
      <c r="AU55" s="488"/>
      <c r="AV55" s="488"/>
      <c r="AW55" s="488"/>
      <c r="AX55" s="488"/>
      <c r="AY55" s="488"/>
      <c r="AZ55" s="489"/>
      <c r="BA55" s="488"/>
      <c r="BB55" s="488"/>
      <c r="BC55" s="488"/>
      <c r="BD55" s="488"/>
      <c r="BE55" s="488"/>
      <c r="BF55" s="488"/>
      <c r="BG55" s="488"/>
      <c r="BH55" s="488"/>
      <c r="BI55" s="488"/>
      <c r="BJ55" s="489"/>
      <c r="BK55" s="488"/>
      <c r="BL55" s="488"/>
      <c r="BM55" s="488"/>
      <c r="BN55" s="488"/>
      <c r="BO55" s="488"/>
      <c r="BP55" s="488"/>
      <c r="BQ55" s="488"/>
      <c r="BR55" s="488"/>
      <c r="BS55" s="488"/>
      <c r="BT55" s="489"/>
      <c r="BU55" s="488"/>
      <c r="BV55" s="488"/>
      <c r="BW55" s="488"/>
      <c r="BX55" s="488"/>
      <c r="BY55" s="488"/>
      <c r="BZ55" s="488"/>
      <c r="CA55" s="488"/>
      <c r="CB55" s="488"/>
      <c r="CC55" s="488"/>
      <c r="CD55" s="489"/>
      <c r="CE55" s="488"/>
      <c r="CF55" s="488"/>
      <c r="CG55" s="488"/>
      <c r="CH55" s="488"/>
      <c r="CI55" s="488"/>
      <c r="CJ55" s="488"/>
      <c r="CK55" s="488"/>
      <c r="CL55" s="488"/>
      <c r="CM55" s="488"/>
      <c r="CN55" s="489"/>
      <c r="CO55" s="488"/>
      <c r="CP55" s="488"/>
      <c r="CQ55" s="488"/>
      <c r="CR55" s="488"/>
      <c r="CS55" s="488"/>
      <c r="CT55" s="488"/>
      <c r="CU55" s="488"/>
      <c r="CV55" s="488"/>
      <c r="CW55" s="488"/>
      <c r="CX55" s="489"/>
      <c r="CY55" s="488"/>
      <c r="CZ55" s="488"/>
      <c r="DA55" s="488"/>
      <c r="DB55" s="488"/>
      <c r="DC55" s="488"/>
      <c r="DD55" s="488"/>
      <c r="DE55" s="488"/>
      <c r="DF55" s="488"/>
      <c r="DG55" s="488"/>
      <c r="DH55" s="489"/>
      <c r="DI55" s="488"/>
      <c r="DJ55" s="488"/>
      <c r="DK55" s="488"/>
      <c r="DL55" s="488"/>
      <c r="DM55" s="488"/>
      <c r="DN55" s="488"/>
      <c r="DO55" s="488"/>
      <c r="DP55" s="488"/>
      <c r="DQ55" s="488"/>
      <c r="DR55" s="489"/>
      <c r="DS55" s="488"/>
      <c r="DT55" s="488"/>
      <c r="DU55" s="488"/>
      <c r="DV55" s="488"/>
      <c r="DW55" s="488"/>
      <c r="DX55" s="488"/>
      <c r="DY55" s="488"/>
      <c r="DZ55" s="488"/>
      <c r="EA55" s="488"/>
      <c r="EB55" s="489"/>
      <c r="EC55" s="488"/>
      <c r="ED55" s="488"/>
      <c r="EE55" s="488"/>
      <c r="EF55" s="488"/>
      <c r="EG55" s="488"/>
      <c r="EH55" s="488"/>
      <c r="EI55" s="488"/>
      <c r="EJ55" s="488"/>
      <c r="EK55" s="488"/>
      <c r="EL55" s="489"/>
      <c r="EM55" s="488"/>
      <c r="EN55" s="488"/>
      <c r="EO55" s="488"/>
      <c r="EP55" s="488"/>
      <c r="EQ55" s="488"/>
      <c r="ER55" s="488"/>
      <c r="ES55" s="488"/>
      <c r="ET55" s="488"/>
      <c r="EU55" s="488"/>
      <c r="EV55" s="489"/>
    </row>
    <row r="56" spans="1:152" s="496" customFormat="1" ht="13.5" customHeight="1">
      <c r="A56" s="53"/>
      <c r="B56" s="488"/>
      <c r="C56" s="488"/>
      <c r="D56" s="488"/>
      <c r="E56" s="488"/>
      <c r="F56" s="488"/>
      <c r="G56" s="488"/>
      <c r="H56" s="488"/>
      <c r="I56" s="488"/>
      <c r="J56" s="488"/>
      <c r="K56" s="488"/>
      <c r="L56" s="488"/>
      <c r="M56" s="488"/>
      <c r="N56" s="488"/>
      <c r="O56" s="488"/>
      <c r="P56" s="488"/>
      <c r="Q56" s="488"/>
      <c r="R56" s="488"/>
      <c r="S56" s="488"/>
      <c r="T56" s="488"/>
      <c r="U56" s="488"/>
      <c r="V56" s="489"/>
      <c r="W56" s="488"/>
      <c r="X56" s="488"/>
      <c r="Y56" s="488"/>
      <c r="Z56" s="488"/>
      <c r="AA56" s="488"/>
      <c r="AB56" s="488"/>
      <c r="AC56" s="488"/>
      <c r="AD56" s="488"/>
      <c r="AE56" s="488"/>
      <c r="AF56" s="489"/>
      <c r="AG56" s="488"/>
      <c r="AH56" s="488"/>
      <c r="AI56" s="488"/>
      <c r="AJ56" s="488"/>
      <c r="AK56" s="488"/>
      <c r="AL56" s="488"/>
      <c r="AM56" s="488"/>
      <c r="AN56" s="488"/>
      <c r="AO56" s="488"/>
      <c r="AP56" s="489"/>
      <c r="AQ56" s="488"/>
      <c r="AR56" s="488"/>
      <c r="AS56" s="488"/>
      <c r="AT56" s="488"/>
      <c r="AU56" s="488"/>
      <c r="AV56" s="488"/>
      <c r="AW56" s="488"/>
      <c r="AX56" s="488"/>
      <c r="AY56" s="488"/>
      <c r="AZ56" s="489"/>
      <c r="BA56" s="488"/>
      <c r="BB56" s="488"/>
      <c r="BC56" s="488"/>
      <c r="BD56" s="488"/>
      <c r="BE56" s="488"/>
      <c r="BF56" s="488"/>
      <c r="BG56" s="488"/>
      <c r="BH56" s="488"/>
      <c r="BI56" s="488"/>
      <c r="BJ56" s="489"/>
      <c r="BK56" s="488"/>
      <c r="BL56" s="488"/>
      <c r="BM56" s="488"/>
      <c r="BN56" s="488"/>
      <c r="BO56" s="488"/>
      <c r="BP56" s="488"/>
      <c r="BQ56" s="488"/>
      <c r="BR56" s="488"/>
      <c r="BS56" s="488"/>
      <c r="BT56" s="489"/>
      <c r="BU56" s="488"/>
      <c r="BV56" s="488"/>
      <c r="BW56" s="488"/>
      <c r="BX56" s="488"/>
      <c r="BY56" s="488"/>
      <c r="BZ56" s="488"/>
      <c r="CA56" s="488"/>
      <c r="CB56" s="488"/>
      <c r="CC56" s="488"/>
      <c r="CD56" s="489"/>
      <c r="CE56" s="488"/>
      <c r="CF56" s="488"/>
      <c r="CG56" s="488"/>
      <c r="CH56" s="488"/>
      <c r="CI56" s="488"/>
      <c r="CJ56" s="488"/>
      <c r="CK56" s="488"/>
      <c r="CL56" s="488"/>
      <c r="CM56" s="488"/>
      <c r="CN56" s="489"/>
      <c r="CO56" s="488"/>
      <c r="CP56" s="488"/>
      <c r="CQ56" s="488"/>
      <c r="CR56" s="488"/>
      <c r="CS56" s="488"/>
      <c r="CT56" s="488"/>
      <c r="CU56" s="488"/>
      <c r="CV56" s="488"/>
      <c r="CW56" s="488"/>
      <c r="CX56" s="489"/>
      <c r="CY56" s="488"/>
      <c r="CZ56" s="488"/>
      <c r="DA56" s="488"/>
      <c r="DB56" s="488"/>
      <c r="DC56" s="488"/>
      <c r="DD56" s="488"/>
      <c r="DE56" s="488"/>
      <c r="DF56" s="488"/>
      <c r="DG56" s="488"/>
      <c r="DH56" s="489"/>
      <c r="DI56" s="488"/>
      <c r="DJ56" s="488"/>
      <c r="DK56" s="488"/>
      <c r="DL56" s="488"/>
      <c r="DM56" s="488"/>
      <c r="DN56" s="488"/>
      <c r="DO56" s="488"/>
      <c r="DP56" s="488"/>
      <c r="DQ56" s="488"/>
      <c r="DR56" s="489"/>
      <c r="DS56" s="488"/>
      <c r="DT56" s="488"/>
      <c r="DU56" s="488"/>
      <c r="DV56" s="488"/>
      <c r="DW56" s="488"/>
      <c r="DX56" s="488"/>
      <c r="DY56" s="488"/>
      <c r="DZ56" s="488"/>
      <c r="EA56" s="488"/>
      <c r="EB56" s="489"/>
      <c r="EC56" s="488"/>
      <c r="ED56" s="488"/>
      <c r="EE56" s="488"/>
      <c r="EF56" s="488"/>
      <c r="EG56" s="488"/>
      <c r="EH56" s="488"/>
      <c r="EI56" s="488"/>
      <c r="EJ56" s="488"/>
      <c r="EK56" s="488"/>
      <c r="EL56" s="489"/>
      <c r="EM56" s="488"/>
      <c r="EN56" s="488"/>
      <c r="EO56" s="488"/>
      <c r="EP56" s="488"/>
      <c r="EQ56" s="488"/>
      <c r="ER56" s="488"/>
      <c r="ES56" s="488"/>
      <c r="ET56" s="488"/>
      <c r="EU56" s="488"/>
      <c r="EV56" s="489"/>
    </row>
    <row r="57" spans="1:152" s="496" customFormat="1" ht="13.5" customHeight="1">
      <c r="A57" s="53"/>
      <c r="B57" s="488"/>
      <c r="C57" s="488"/>
      <c r="D57" s="488"/>
      <c r="E57" s="488"/>
      <c r="F57" s="488"/>
      <c r="G57" s="488"/>
      <c r="H57" s="488"/>
      <c r="I57" s="488"/>
      <c r="J57" s="488"/>
      <c r="K57" s="488"/>
      <c r="L57" s="488"/>
      <c r="M57" s="488"/>
      <c r="N57" s="488"/>
      <c r="O57" s="488"/>
      <c r="P57" s="488"/>
      <c r="Q57" s="488"/>
      <c r="R57" s="488"/>
      <c r="S57" s="488"/>
      <c r="T57" s="488"/>
      <c r="U57" s="488"/>
      <c r="V57" s="489"/>
      <c r="W57" s="488"/>
      <c r="X57" s="488"/>
      <c r="Y57" s="488"/>
      <c r="Z57" s="488"/>
      <c r="AA57" s="488"/>
      <c r="AB57" s="488"/>
      <c r="AC57" s="488"/>
      <c r="AD57" s="488"/>
      <c r="AE57" s="488"/>
      <c r="AF57" s="489"/>
      <c r="AG57" s="488"/>
      <c r="AH57" s="488"/>
      <c r="AI57" s="488"/>
      <c r="AJ57" s="488"/>
      <c r="AK57" s="488"/>
      <c r="AL57" s="488"/>
      <c r="AM57" s="488"/>
      <c r="AN57" s="488"/>
      <c r="AO57" s="488"/>
      <c r="AP57" s="489"/>
      <c r="AQ57" s="488"/>
      <c r="AR57" s="488"/>
      <c r="AS57" s="488"/>
      <c r="AT57" s="488"/>
      <c r="AU57" s="488"/>
      <c r="AV57" s="488"/>
      <c r="AW57" s="488"/>
      <c r="AX57" s="488"/>
      <c r="AY57" s="488"/>
      <c r="AZ57" s="489"/>
      <c r="BA57" s="488"/>
      <c r="BB57" s="488"/>
      <c r="BC57" s="488"/>
      <c r="BD57" s="488"/>
      <c r="BE57" s="488"/>
      <c r="BF57" s="488"/>
      <c r="BG57" s="488"/>
      <c r="BH57" s="488"/>
      <c r="BI57" s="488"/>
      <c r="BJ57" s="489"/>
      <c r="BK57" s="488"/>
      <c r="BL57" s="488"/>
      <c r="BM57" s="488"/>
      <c r="BN57" s="488"/>
      <c r="BO57" s="488"/>
      <c r="BP57" s="488"/>
      <c r="BQ57" s="488"/>
      <c r="BR57" s="488"/>
      <c r="BS57" s="488"/>
      <c r="BT57" s="489"/>
      <c r="BU57" s="488"/>
      <c r="BV57" s="488"/>
      <c r="BW57" s="488"/>
      <c r="BX57" s="488"/>
      <c r="BY57" s="488"/>
      <c r="BZ57" s="488"/>
      <c r="CA57" s="488"/>
      <c r="CB57" s="488"/>
      <c r="CC57" s="488"/>
      <c r="CD57" s="489"/>
      <c r="CE57" s="488"/>
      <c r="CF57" s="488"/>
      <c r="CG57" s="488"/>
      <c r="CH57" s="488"/>
      <c r="CI57" s="488"/>
      <c r="CJ57" s="488"/>
      <c r="CK57" s="488"/>
      <c r="CL57" s="488"/>
      <c r="CM57" s="488"/>
      <c r="CN57" s="489"/>
      <c r="CO57" s="488"/>
      <c r="CP57" s="488"/>
      <c r="CQ57" s="488"/>
      <c r="CR57" s="488"/>
      <c r="CS57" s="488"/>
      <c r="CT57" s="488"/>
      <c r="CU57" s="488"/>
      <c r="CV57" s="488"/>
      <c r="CW57" s="488"/>
      <c r="CX57" s="489"/>
      <c r="CY57" s="488"/>
      <c r="CZ57" s="488"/>
      <c r="DA57" s="488"/>
      <c r="DB57" s="488"/>
      <c r="DC57" s="488"/>
      <c r="DD57" s="488"/>
      <c r="DE57" s="488"/>
      <c r="DF57" s="488"/>
      <c r="DG57" s="488"/>
      <c r="DH57" s="489"/>
      <c r="DI57" s="488"/>
      <c r="DJ57" s="488"/>
      <c r="DK57" s="488"/>
      <c r="DL57" s="488"/>
      <c r="DM57" s="488"/>
      <c r="DN57" s="488"/>
      <c r="DO57" s="488"/>
      <c r="DP57" s="488"/>
      <c r="DQ57" s="488"/>
      <c r="DR57" s="489"/>
      <c r="DS57" s="488"/>
      <c r="DT57" s="488"/>
      <c r="DU57" s="488"/>
      <c r="DV57" s="488"/>
      <c r="DW57" s="488"/>
      <c r="DX57" s="488"/>
      <c r="DY57" s="488"/>
      <c r="DZ57" s="488"/>
      <c r="EA57" s="488"/>
      <c r="EB57" s="489"/>
      <c r="EC57" s="488"/>
      <c r="ED57" s="488"/>
      <c r="EE57" s="488"/>
      <c r="EF57" s="488"/>
      <c r="EG57" s="488"/>
      <c r="EH57" s="488"/>
      <c r="EI57" s="488"/>
      <c r="EJ57" s="488"/>
      <c r="EK57" s="488"/>
      <c r="EL57" s="489"/>
      <c r="EM57" s="488"/>
      <c r="EN57" s="488"/>
      <c r="EO57" s="488"/>
      <c r="EP57" s="488"/>
      <c r="EQ57" s="488"/>
      <c r="ER57" s="488"/>
      <c r="ES57" s="488"/>
      <c r="ET57" s="488"/>
      <c r="EU57" s="488"/>
      <c r="EV57" s="489"/>
    </row>
    <row r="58" spans="1:152" s="496" customFormat="1" ht="13.5" customHeight="1">
      <c r="A58" s="53"/>
      <c r="B58" s="488"/>
      <c r="C58" s="488"/>
      <c r="D58" s="488"/>
      <c r="E58" s="488"/>
      <c r="F58" s="488"/>
      <c r="G58" s="488"/>
      <c r="H58" s="488"/>
      <c r="I58" s="488"/>
      <c r="J58" s="488"/>
      <c r="K58" s="488"/>
      <c r="L58" s="488"/>
      <c r="M58" s="488"/>
      <c r="N58" s="488"/>
      <c r="O58" s="488"/>
      <c r="P58" s="488"/>
      <c r="Q58" s="488"/>
      <c r="R58" s="488"/>
      <c r="S58" s="488"/>
      <c r="T58" s="488"/>
      <c r="U58" s="488"/>
      <c r="V58" s="489"/>
      <c r="W58" s="488"/>
      <c r="X58" s="488"/>
      <c r="Y58" s="488"/>
      <c r="Z58" s="488"/>
      <c r="AA58" s="488"/>
      <c r="AB58" s="488"/>
      <c r="AC58" s="488"/>
      <c r="AD58" s="488"/>
      <c r="AE58" s="488"/>
      <c r="AF58" s="489"/>
      <c r="AG58" s="488"/>
      <c r="AH58" s="488"/>
      <c r="AI58" s="488"/>
      <c r="AJ58" s="488"/>
      <c r="AK58" s="488"/>
      <c r="AL58" s="488"/>
      <c r="AM58" s="488"/>
      <c r="AN58" s="488"/>
      <c r="AO58" s="488"/>
      <c r="AP58" s="489"/>
      <c r="AQ58" s="488"/>
      <c r="AR58" s="488"/>
      <c r="AS58" s="488"/>
      <c r="AT58" s="488"/>
      <c r="AU58" s="488"/>
      <c r="AV58" s="488"/>
      <c r="AW58" s="488"/>
      <c r="AX58" s="488"/>
      <c r="AY58" s="488"/>
      <c r="AZ58" s="489"/>
      <c r="BA58" s="488"/>
      <c r="BB58" s="488"/>
      <c r="BC58" s="488"/>
      <c r="BD58" s="488"/>
      <c r="BE58" s="488"/>
      <c r="BF58" s="488"/>
      <c r="BG58" s="488"/>
      <c r="BH58" s="488"/>
      <c r="BI58" s="488"/>
      <c r="BJ58" s="489"/>
      <c r="BK58" s="488"/>
      <c r="BL58" s="488"/>
      <c r="BM58" s="488"/>
      <c r="BN58" s="488"/>
      <c r="BO58" s="488"/>
      <c r="BP58" s="488"/>
      <c r="BQ58" s="488"/>
      <c r="BR58" s="488"/>
      <c r="BS58" s="488"/>
      <c r="BT58" s="489"/>
      <c r="BU58" s="488"/>
      <c r="BV58" s="488"/>
      <c r="BW58" s="488"/>
      <c r="BX58" s="488"/>
      <c r="BY58" s="488"/>
      <c r="BZ58" s="488"/>
      <c r="CA58" s="488"/>
      <c r="CB58" s="488"/>
      <c r="CC58" s="488"/>
      <c r="CD58" s="489"/>
      <c r="CE58" s="488"/>
      <c r="CF58" s="488"/>
      <c r="CG58" s="488"/>
      <c r="CH58" s="488"/>
      <c r="CI58" s="488"/>
      <c r="CJ58" s="488"/>
      <c r="CK58" s="488"/>
      <c r="CL58" s="488"/>
      <c r="CM58" s="488"/>
      <c r="CN58" s="489"/>
      <c r="CO58" s="488"/>
      <c r="CP58" s="488"/>
      <c r="CQ58" s="488"/>
      <c r="CR58" s="488"/>
      <c r="CS58" s="488"/>
      <c r="CT58" s="488"/>
      <c r="CU58" s="488"/>
      <c r="CV58" s="488"/>
      <c r="CW58" s="488"/>
      <c r="CX58" s="489"/>
      <c r="CY58" s="488"/>
      <c r="CZ58" s="488"/>
      <c r="DA58" s="488"/>
      <c r="DB58" s="488"/>
      <c r="DC58" s="488"/>
      <c r="DD58" s="488"/>
      <c r="DE58" s="488"/>
      <c r="DF58" s="488"/>
      <c r="DG58" s="488"/>
      <c r="DH58" s="489"/>
      <c r="DI58" s="488"/>
      <c r="DJ58" s="488"/>
      <c r="DK58" s="488"/>
      <c r="DL58" s="488"/>
      <c r="DM58" s="488"/>
      <c r="DN58" s="488"/>
      <c r="DO58" s="488"/>
      <c r="DP58" s="488"/>
      <c r="DQ58" s="488"/>
      <c r="DR58" s="489"/>
      <c r="DS58" s="488"/>
      <c r="DT58" s="488"/>
      <c r="DU58" s="488"/>
      <c r="DV58" s="488"/>
      <c r="DW58" s="488"/>
      <c r="DX58" s="488"/>
      <c r="DY58" s="488"/>
      <c r="DZ58" s="488"/>
      <c r="EA58" s="488"/>
      <c r="EB58" s="489"/>
      <c r="EC58" s="488"/>
      <c r="ED58" s="488"/>
      <c r="EE58" s="488"/>
      <c r="EF58" s="488"/>
      <c r="EG58" s="488"/>
      <c r="EH58" s="488"/>
      <c r="EI58" s="488"/>
      <c r="EJ58" s="488"/>
      <c r="EK58" s="488"/>
      <c r="EL58" s="489"/>
      <c r="EM58" s="488"/>
      <c r="EN58" s="488"/>
      <c r="EO58" s="488"/>
      <c r="EP58" s="488"/>
      <c r="EQ58" s="488"/>
      <c r="ER58" s="488"/>
      <c r="ES58" s="488"/>
      <c r="ET58" s="488"/>
      <c r="EU58" s="488"/>
      <c r="EV58" s="489"/>
    </row>
    <row r="59" spans="1:152" s="496" customFormat="1" ht="13.5" customHeight="1">
      <c r="A59" s="53"/>
      <c r="B59" s="488"/>
      <c r="C59" s="488"/>
      <c r="D59" s="488"/>
      <c r="E59" s="488"/>
      <c r="F59" s="488"/>
      <c r="G59" s="488"/>
      <c r="H59" s="488"/>
      <c r="I59" s="488"/>
      <c r="J59" s="488"/>
      <c r="K59" s="488"/>
      <c r="L59" s="488"/>
      <c r="M59" s="488"/>
      <c r="N59" s="488"/>
      <c r="O59" s="488"/>
      <c r="P59" s="488"/>
      <c r="Q59" s="488"/>
      <c r="R59" s="488"/>
      <c r="S59" s="488"/>
      <c r="T59" s="488"/>
      <c r="U59" s="488"/>
      <c r="V59" s="489"/>
      <c r="W59" s="488"/>
      <c r="X59" s="488"/>
      <c r="Y59" s="488"/>
      <c r="Z59" s="488"/>
      <c r="AA59" s="488"/>
      <c r="AB59" s="488"/>
      <c r="AC59" s="488"/>
      <c r="AD59" s="488"/>
      <c r="AE59" s="488"/>
      <c r="AF59" s="489"/>
      <c r="AG59" s="488"/>
      <c r="AH59" s="488"/>
      <c r="AI59" s="488"/>
      <c r="AJ59" s="488"/>
      <c r="AK59" s="488"/>
      <c r="AL59" s="488"/>
      <c r="AM59" s="488"/>
      <c r="AN59" s="488"/>
      <c r="AO59" s="488"/>
      <c r="AP59" s="489"/>
      <c r="AQ59" s="488"/>
      <c r="AR59" s="488"/>
      <c r="AS59" s="488"/>
      <c r="AT59" s="488"/>
      <c r="AU59" s="488"/>
      <c r="AV59" s="488"/>
      <c r="AW59" s="488"/>
      <c r="AX59" s="488"/>
      <c r="AY59" s="488"/>
      <c r="AZ59" s="489"/>
      <c r="BA59" s="488"/>
      <c r="BB59" s="488"/>
      <c r="BC59" s="488"/>
      <c r="BD59" s="488"/>
      <c r="BE59" s="488"/>
      <c r="BF59" s="488"/>
      <c r="BG59" s="488"/>
      <c r="BH59" s="488"/>
      <c r="BI59" s="488"/>
      <c r="BJ59" s="489"/>
      <c r="BK59" s="488"/>
      <c r="BL59" s="488"/>
      <c r="BM59" s="488"/>
      <c r="BN59" s="488"/>
      <c r="BO59" s="488"/>
      <c r="BP59" s="488"/>
      <c r="BQ59" s="488"/>
      <c r="BR59" s="488"/>
      <c r="BS59" s="488"/>
      <c r="BT59" s="489"/>
      <c r="BU59" s="488"/>
      <c r="BV59" s="488"/>
      <c r="BW59" s="488"/>
      <c r="BX59" s="488"/>
      <c r="BY59" s="488"/>
      <c r="BZ59" s="488"/>
      <c r="CA59" s="488"/>
      <c r="CB59" s="488"/>
      <c r="CC59" s="488"/>
      <c r="CD59" s="489"/>
      <c r="CE59" s="488"/>
      <c r="CF59" s="488"/>
      <c r="CG59" s="488"/>
      <c r="CH59" s="488"/>
      <c r="CI59" s="488"/>
      <c r="CJ59" s="488"/>
      <c r="CK59" s="488"/>
      <c r="CL59" s="488"/>
      <c r="CM59" s="488"/>
      <c r="CN59" s="489"/>
      <c r="CO59" s="488"/>
      <c r="CP59" s="488"/>
      <c r="CQ59" s="488"/>
      <c r="CR59" s="488"/>
      <c r="CS59" s="488"/>
      <c r="CT59" s="488"/>
      <c r="CU59" s="488"/>
      <c r="CV59" s="488"/>
      <c r="CW59" s="488"/>
      <c r="CX59" s="489"/>
      <c r="CY59" s="488"/>
      <c r="CZ59" s="488"/>
      <c r="DA59" s="488"/>
      <c r="DB59" s="488"/>
      <c r="DC59" s="488"/>
      <c r="DD59" s="488"/>
      <c r="DE59" s="488"/>
      <c r="DF59" s="488"/>
      <c r="DG59" s="488"/>
      <c r="DH59" s="489"/>
      <c r="DI59" s="488"/>
      <c r="DJ59" s="488"/>
      <c r="DK59" s="488"/>
      <c r="DL59" s="488"/>
      <c r="DM59" s="488"/>
      <c r="DN59" s="488"/>
      <c r="DO59" s="488"/>
      <c r="DP59" s="488"/>
      <c r="DQ59" s="488"/>
      <c r="DR59" s="489"/>
      <c r="DS59" s="488"/>
      <c r="DT59" s="488"/>
      <c r="DU59" s="488"/>
      <c r="DV59" s="488"/>
      <c r="DW59" s="488"/>
      <c r="DX59" s="488"/>
      <c r="DY59" s="488"/>
      <c r="DZ59" s="488"/>
      <c r="EA59" s="488"/>
      <c r="EB59" s="489"/>
      <c r="EC59" s="488"/>
      <c r="ED59" s="488"/>
      <c r="EE59" s="488"/>
      <c r="EF59" s="488"/>
      <c r="EG59" s="488"/>
      <c r="EH59" s="488"/>
      <c r="EI59" s="488"/>
      <c r="EJ59" s="488"/>
      <c r="EK59" s="488"/>
      <c r="EL59" s="489"/>
      <c r="EM59" s="488"/>
      <c r="EN59" s="488"/>
      <c r="EO59" s="488"/>
      <c r="EP59" s="488"/>
      <c r="EQ59" s="488"/>
      <c r="ER59" s="488"/>
      <c r="ES59" s="488"/>
      <c r="ET59" s="488"/>
      <c r="EU59" s="488"/>
      <c r="EV59" s="489"/>
    </row>
    <row r="60" spans="1:152" s="496" customFormat="1" ht="13.5" customHeight="1">
      <c r="A60" s="53"/>
      <c r="B60" s="488"/>
      <c r="C60" s="488"/>
      <c r="D60" s="488"/>
      <c r="E60" s="488"/>
      <c r="F60" s="488"/>
      <c r="G60" s="488"/>
      <c r="H60" s="488"/>
      <c r="I60" s="488"/>
      <c r="J60" s="488"/>
      <c r="K60" s="488"/>
      <c r="L60" s="488"/>
      <c r="M60" s="488"/>
      <c r="N60" s="488"/>
      <c r="O60" s="488"/>
      <c r="P60" s="488"/>
      <c r="Q60" s="488"/>
      <c r="R60" s="488"/>
      <c r="S60" s="488"/>
      <c r="T60" s="488"/>
      <c r="U60" s="488"/>
      <c r="V60" s="489"/>
      <c r="W60" s="488"/>
      <c r="X60" s="488"/>
      <c r="Y60" s="488"/>
      <c r="Z60" s="488"/>
      <c r="AA60" s="488"/>
      <c r="AB60" s="488"/>
      <c r="AC60" s="488"/>
      <c r="AD60" s="488"/>
      <c r="AE60" s="488"/>
      <c r="AF60" s="489"/>
      <c r="AG60" s="488"/>
      <c r="AH60" s="488"/>
      <c r="AI60" s="488"/>
      <c r="AJ60" s="488"/>
      <c r="AK60" s="488"/>
      <c r="AL60" s="488"/>
      <c r="AM60" s="488"/>
      <c r="AN60" s="488"/>
      <c r="AO60" s="488"/>
      <c r="AP60" s="489"/>
      <c r="AQ60" s="488"/>
      <c r="AR60" s="488"/>
      <c r="AS60" s="488"/>
      <c r="AT60" s="488"/>
      <c r="AU60" s="488"/>
      <c r="AV60" s="488"/>
      <c r="AW60" s="488"/>
      <c r="AX60" s="488"/>
      <c r="AY60" s="488"/>
      <c r="AZ60" s="489"/>
      <c r="BA60" s="488"/>
      <c r="BB60" s="488"/>
      <c r="BC60" s="488"/>
      <c r="BD60" s="488"/>
      <c r="BE60" s="488"/>
      <c r="BF60" s="488"/>
      <c r="BG60" s="488"/>
      <c r="BH60" s="488"/>
      <c r="BI60" s="488"/>
      <c r="BJ60" s="489"/>
      <c r="BK60" s="488"/>
      <c r="BL60" s="488"/>
      <c r="BM60" s="488"/>
      <c r="BN60" s="488"/>
      <c r="BO60" s="488"/>
      <c r="BP60" s="488"/>
      <c r="BQ60" s="488"/>
      <c r="BR60" s="488"/>
      <c r="BS60" s="488"/>
      <c r="BT60" s="489"/>
      <c r="BU60" s="488"/>
      <c r="BV60" s="488"/>
      <c r="BW60" s="488"/>
      <c r="BX60" s="488"/>
      <c r="BY60" s="488"/>
      <c r="BZ60" s="488"/>
      <c r="CA60" s="488"/>
      <c r="CB60" s="488"/>
      <c r="CC60" s="488"/>
      <c r="CD60" s="489"/>
      <c r="CE60" s="488"/>
      <c r="CF60" s="488"/>
      <c r="CG60" s="488"/>
      <c r="CH60" s="488"/>
      <c r="CI60" s="488"/>
      <c r="CJ60" s="488"/>
      <c r="CK60" s="488"/>
      <c r="CL60" s="488"/>
      <c r="CM60" s="488"/>
      <c r="CN60" s="489"/>
      <c r="CO60" s="488"/>
      <c r="CP60" s="488"/>
      <c r="CQ60" s="488"/>
      <c r="CR60" s="488"/>
      <c r="CS60" s="488"/>
      <c r="CT60" s="488"/>
      <c r="CU60" s="488"/>
      <c r="CV60" s="488"/>
      <c r="CW60" s="488"/>
      <c r="CX60" s="489"/>
      <c r="CY60" s="488"/>
      <c r="CZ60" s="488"/>
      <c r="DA60" s="488"/>
      <c r="DB60" s="488"/>
      <c r="DC60" s="488"/>
      <c r="DD60" s="488"/>
      <c r="DE60" s="488"/>
      <c r="DF60" s="488"/>
      <c r="DG60" s="488"/>
      <c r="DH60" s="489"/>
      <c r="DI60" s="488"/>
      <c r="DJ60" s="488"/>
      <c r="DK60" s="488"/>
      <c r="DL60" s="488"/>
      <c r="DM60" s="488"/>
      <c r="DN60" s="488"/>
      <c r="DO60" s="488"/>
      <c r="DP60" s="488"/>
      <c r="DQ60" s="488"/>
      <c r="DR60" s="489"/>
      <c r="DS60" s="488"/>
      <c r="DT60" s="488"/>
      <c r="DU60" s="488"/>
      <c r="DV60" s="488"/>
      <c r="DW60" s="488"/>
      <c r="DX60" s="488"/>
      <c r="DY60" s="488"/>
      <c r="DZ60" s="488"/>
      <c r="EA60" s="488"/>
      <c r="EB60" s="489"/>
      <c r="EC60" s="488"/>
      <c r="ED60" s="488"/>
      <c r="EE60" s="488"/>
      <c r="EF60" s="488"/>
      <c r="EG60" s="488"/>
      <c r="EH60" s="488"/>
      <c r="EI60" s="488"/>
      <c r="EJ60" s="488"/>
      <c r="EK60" s="488"/>
      <c r="EL60" s="489"/>
      <c r="EM60" s="488"/>
      <c r="EN60" s="488"/>
      <c r="EO60" s="488"/>
      <c r="EP60" s="488"/>
      <c r="EQ60" s="488"/>
      <c r="ER60" s="488"/>
      <c r="ES60" s="488"/>
      <c r="ET60" s="488"/>
      <c r="EU60" s="488"/>
      <c r="EV60" s="489"/>
    </row>
    <row r="61" spans="1:152" s="496" customFormat="1" ht="13.5" customHeight="1">
      <c r="A61" s="53"/>
      <c r="B61" s="489"/>
      <c r="C61" s="489"/>
      <c r="D61" s="489"/>
      <c r="E61" s="489"/>
      <c r="F61" s="489"/>
      <c r="G61" s="489"/>
      <c r="H61" s="489"/>
      <c r="I61" s="489"/>
      <c r="J61" s="489"/>
      <c r="K61" s="489"/>
      <c r="L61" s="489"/>
      <c r="M61" s="489"/>
      <c r="N61" s="489"/>
      <c r="O61" s="489"/>
      <c r="P61" s="489"/>
      <c r="Q61" s="489"/>
      <c r="R61" s="489"/>
      <c r="S61" s="489"/>
      <c r="T61" s="489"/>
      <c r="U61" s="489"/>
      <c r="V61" s="489"/>
      <c r="W61" s="488"/>
      <c r="X61" s="488"/>
      <c r="Y61" s="488"/>
      <c r="Z61" s="488"/>
      <c r="AA61" s="488"/>
      <c r="AB61" s="488"/>
      <c r="AC61" s="488"/>
      <c r="AD61" s="488"/>
      <c r="AE61" s="488"/>
      <c r="AF61" s="489"/>
      <c r="AG61" s="488"/>
      <c r="AH61" s="488"/>
      <c r="AI61" s="488"/>
      <c r="AJ61" s="488"/>
      <c r="AK61" s="488"/>
      <c r="AL61" s="488"/>
      <c r="AM61" s="488"/>
      <c r="AN61" s="488"/>
      <c r="AO61" s="488"/>
      <c r="AP61" s="489"/>
      <c r="AQ61" s="488"/>
      <c r="AR61" s="488"/>
      <c r="AS61" s="488"/>
      <c r="AT61" s="488"/>
      <c r="AU61" s="488"/>
      <c r="AV61" s="488"/>
      <c r="AW61" s="488"/>
      <c r="AX61" s="488"/>
      <c r="AY61" s="488"/>
      <c r="AZ61" s="489"/>
      <c r="BA61" s="488"/>
      <c r="BB61" s="488"/>
      <c r="BC61" s="488"/>
      <c r="BD61" s="488"/>
      <c r="BE61" s="488"/>
      <c r="BF61" s="488"/>
      <c r="BG61" s="488"/>
      <c r="BH61" s="488"/>
      <c r="BI61" s="488"/>
      <c r="BJ61" s="489"/>
      <c r="BK61" s="488"/>
      <c r="BL61" s="488"/>
      <c r="BM61" s="488"/>
      <c r="BN61" s="488"/>
      <c r="BO61" s="488"/>
      <c r="BP61" s="488"/>
      <c r="BQ61" s="488"/>
      <c r="BR61" s="488"/>
      <c r="BS61" s="488"/>
      <c r="BT61" s="489"/>
      <c r="BU61" s="488"/>
      <c r="BV61" s="488"/>
      <c r="BW61" s="488"/>
      <c r="BX61" s="488"/>
      <c r="BY61" s="488"/>
      <c r="BZ61" s="488"/>
      <c r="CA61" s="488"/>
      <c r="CB61" s="488"/>
      <c r="CC61" s="488"/>
      <c r="CD61" s="489"/>
      <c r="CE61" s="488"/>
      <c r="CF61" s="488"/>
      <c r="CG61" s="488"/>
      <c r="CH61" s="488"/>
      <c r="CI61" s="488"/>
      <c r="CJ61" s="488"/>
      <c r="CK61" s="488"/>
      <c r="CL61" s="488"/>
      <c r="CM61" s="488"/>
      <c r="CN61" s="489"/>
      <c r="CO61" s="488"/>
      <c r="CP61" s="488"/>
      <c r="CQ61" s="488"/>
      <c r="CR61" s="488"/>
      <c r="CS61" s="488"/>
      <c r="CT61" s="488"/>
      <c r="CU61" s="488"/>
      <c r="CV61" s="488"/>
      <c r="CW61" s="488"/>
      <c r="CX61" s="489"/>
      <c r="CY61" s="488"/>
      <c r="CZ61" s="488"/>
      <c r="DA61" s="488"/>
      <c r="DB61" s="488"/>
      <c r="DC61" s="488"/>
      <c r="DD61" s="488"/>
      <c r="DE61" s="488"/>
      <c r="DF61" s="488"/>
      <c r="DG61" s="488"/>
      <c r="DH61" s="489"/>
      <c r="DI61" s="488"/>
      <c r="DJ61" s="488"/>
      <c r="DK61" s="488"/>
      <c r="DL61" s="488"/>
      <c r="DM61" s="488"/>
      <c r="DN61" s="488"/>
      <c r="DO61" s="488"/>
      <c r="DP61" s="488"/>
      <c r="DQ61" s="488"/>
      <c r="DR61" s="489"/>
      <c r="DS61" s="488"/>
      <c r="DT61" s="488"/>
      <c r="DU61" s="488"/>
      <c r="DV61" s="488"/>
      <c r="DW61" s="488"/>
      <c r="DX61" s="488"/>
      <c r="DY61" s="488"/>
      <c r="DZ61" s="488"/>
      <c r="EA61" s="488"/>
      <c r="EB61" s="489"/>
      <c r="EC61" s="488"/>
      <c r="ED61" s="488"/>
      <c r="EE61" s="488"/>
      <c r="EF61" s="488"/>
      <c r="EG61" s="488"/>
      <c r="EH61" s="488"/>
      <c r="EI61" s="488"/>
      <c r="EJ61" s="488"/>
      <c r="EK61" s="488"/>
      <c r="EL61" s="489"/>
      <c r="EM61" s="488"/>
      <c r="EN61" s="488"/>
      <c r="EO61" s="488"/>
      <c r="EP61" s="488"/>
      <c r="EQ61" s="488"/>
      <c r="ER61" s="488"/>
      <c r="ES61" s="488"/>
      <c r="ET61" s="488"/>
      <c r="EU61" s="488"/>
      <c r="EV61" s="489"/>
    </row>
    <row r="62" spans="1:152" s="496" customFormat="1" ht="13.5" customHeight="1">
      <c r="A62" s="53"/>
      <c r="B62" s="489"/>
      <c r="C62" s="489"/>
      <c r="D62" s="489"/>
      <c r="E62" s="489"/>
      <c r="F62" s="489"/>
      <c r="G62" s="489"/>
      <c r="H62" s="489"/>
      <c r="I62" s="489"/>
      <c r="J62" s="489"/>
      <c r="K62" s="489"/>
      <c r="L62" s="489"/>
      <c r="M62" s="489"/>
      <c r="N62" s="489"/>
      <c r="O62" s="489"/>
      <c r="P62" s="489"/>
      <c r="Q62" s="489"/>
      <c r="R62" s="489"/>
      <c r="S62" s="489"/>
      <c r="T62" s="489"/>
      <c r="U62" s="489"/>
      <c r="V62" s="489"/>
      <c r="W62" s="488"/>
      <c r="X62" s="488"/>
      <c r="Y62" s="488"/>
      <c r="Z62" s="488"/>
      <c r="AA62" s="488"/>
      <c r="AB62" s="488"/>
      <c r="AC62" s="488"/>
      <c r="AD62" s="488"/>
      <c r="AE62" s="488"/>
      <c r="AF62" s="489"/>
      <c r="AG62" s="488"/>
      <c r="AH62" s="488"/>
      <c r="AI62" s="488"/>
      <c r="AJ62" s="488"/>
      <c r="AK62" s="488"/>
      <c r="AL62" s="488"/>
      <c r="AM62" s="488"/>
      <c r="AN62" s="488"/>
      <c r="AO62" s="488"/>
      <c r="AP62" s="489"/>
      <c r="AQ62" s="488"/>
      <c r="AR62" s="488"/>
      <c r="AS62" s="488"/>
      <c r="AT62" s="488"/>
      <c r="AU62" s="488"/>
      <c r="AV62" s="488"/>
      <c r="AW62" s="488"/>
      <c r="AX62" s="488"/>
      <c r="AY62" s="488"/>
      <c r="AZ62" s="489"/>
      <c r="BA62" s="488"/>
      <c r="BB62" s="488"/>
      <c r="BC62" s="488"/>
      <c r="BD62" s="488"/>
      <c r="BE62" s="488"/>
      <c r="BF62" s="488"/>
      <c r="BG62" s="488"/>
      <c r="BH62" s="488"/>
      <c r="BI62" s="488"/>
      <c r="BJ62" s="489"/>
      <c r="BK62" s="488"/>
      <c r="BL62" s="488"/>
      <c r="BM62" s="488"/>
      <c r="BN62" s="488"/>
      <c r="BO62" s="488"/>
      <c r="BP62" s="488"/>
      <c r="BQ62" s="488"/>
      <c r="BR62" s="488"/>
      <c r="BS62" s="488"/>
      <c r="BT62" s="489"/>
      <c r="BU62" s="488"/>
      <c r="BV62" s="488"/>
      <c r="BW62" s="488"/>
      <c r="BX62" s="488"/>
      <c r="BY62" s="488"/>
      <c r="BZ62" s="488"/>
      <c r="CA62" s="488"/>
      <c r="CB62" s="488"/>
      <c r="CC62" s="488"/>
      <c r="CD62" s="489"/>
      <c r="CE62" s="488"/>
      <c r="CF62" s="488"/>
      <c r="CG62" s="488"/>
      <c r="CH62" s="488"/>
      <c r="CI62" s="488"/>
      <c r="CJ62" s="488"/>
      <c r="CK62" s="488"/>
      <c r="CL62" s="488"/>
      <c r="CM62" s="488"/>
      <c r="CN62" s="489"/>
      <c r="CO62" s="488"/>
      <c r="CP62" s="488"/>
      <c r="CQ62" s="488"/>
      <c r="CR62" s="488"/>
      <c r="CS62" s="488"/>
      <c r="CT62" s="488"/>
      <c r="CU62" s="488"/>
      <c r="CV62" s="488"/>
      <c r="CW62" s="488"/>
      <c r="CX62" s="489"/>
      <c r="CY62" s="488"/>
      <c r="CZ62" s="488"/>
      <c r="DA62" s="488"/>
      <c r="DB62" s="488"/>
      <c r="DC62" s="488"/>
      <c r="DD62" s="488"/>
      <c r="DE62" s="488"/>
      <c r="DF62" s="488"/>
      <c r="DG62" s="488"/>
      <c r="DH62" s="489"/>
      <c r="DI62" s="488"/>
      <c r="DJ62" s="488"/>
      <c r="DK62" s="488"/>
      <c r="DL62" s="488"/>
      <c r="DM62" s="488"/>
      <c r="DN62" s="488"/>
      <c r="DO62" s="488"/>
      <c r="DP62" s="488"/>
      <c r="DQ62" s="488"/>
      <c r="DR62" s="489"/>
      <c r="DS62" s="488"/>
      <c r="DT62" s="488"/>
      <c r="DU62" s="488"/>
      <c r="DV62" s="488"/>
      <c r="DW62" s="488"/>
      <c r="DX62" s="488"/>
      <c r="DY62" s="488"/>
      <c r="DZ62" s="488"/>
      <c r="EA62" s="488"/>
      <c r="EB62" s="489"/>
      <c r="EC62" s="488"/>
      <c r="ED62" s="488"/>
      <c r="EE62" s="488"/>
      <c r="EF62" s="488"/>
      <c r="EG62" s="488"/>
      <c r="EH62" s="488"/>
      <c r="EI62" s="488"/>
      <c r="EJ62" s="488"/>
      <c r="EK62" s="488"/>
      <c r="EL62" s="489"/>
      <c r="EM62" s="488"/>
      <c r="EN62" s="488"/>
      <c r="EO62" s="488"/>
      <c r="EP62" s="488"/>
      <c r="EQ62" s="488"/>
      <c r="ER62" s="488"/>
      <c r="ES62" s="488"/>
      <c r="ET62" s="488"/>
      <c r="EU62" s="488"/>
      <c r="EV62" s="489"/>
    </row>
    <row r="63" spans="1:152" s="496" customFormat="1" ht="13.5" customHeight="1">
      <c r="A63" s="53"/>
      <c r="B63" s="489"/>
      <c r="C63" s="489"/>
      <c r="D63" s="489"/>
      <c r="E63" s="489"/>
      <c r="F63" s="489"/>
      <c r="G63" s="489"/>
      <c r="H63" s="489"/>
      <c r="I63" s="489"/>
      <c r="J63" s="489"/>
      <c r="K63" s="489"/>
      <c r="L63" s="489"/>
      <c r="M63" s="489"/>
      <c r="N63" s="489"/>
      <c r="O63" s="489"/>
      <c r="P63" s="489"/>
      <c r="Q63" s="489"/>
      <c r="R63" s="489"/>
      <c r="S63" s="489"/>
      <c r="T63" s="489"/>
      <c r="U63" s="489"/>
      <c r="V63" s="489"/>
      <c r="W63" s="488"/>
      <c r="X63" s="488"/>
      <c r="Y63" s="488"/>
      <c r="Z63" s="488"/>
      <c r="AA63" s="488"/>
      <c r="AB63" s="488"/>
      <c r="AC63" s="488"/>
      <c r="AD63" s="488"/>
      <c r="AE63" s="488"/>
      <c r="AF63" s="489"/>
      <c r="AG63" s="488"/>
      <c r="AH63" s="488"/>
      <c r="AI63" s="488"/>
      <c r="AJ63" s="488"/>
      <c r="AK63" s="488"/>
      <c r="AL63" s="488"/>
      <c r="AM63" s="488"/>
      <c r="AN63" s="488"/>
      <c r="AO63" s="488"/>
      <c r="AP63" s="489"/>
      <c r="AQ63" s="488"/>
      <c r="AR63" s="488"/>
      <c r="AS63" s="488"/>
      <c r="AT63" s="488"/>
      <c r="AU63" s="488"/>
      <c r="AV63" s="488"/>
      <c r="AW63" s="488"/>
      <c r="AX63" s="488"/>
      <c r="AY63" s="488"/>
      <c r="AZ63" s="489"/>
      <c r="BA63" s="488"/>
      <c r="BB63" s="488"/>
      <c r="BC63" s="488"/>
      <c r="BD63" s="488"/>
      <c r="BE63" s="488"/>
      <c r="BF63" s="488"/>
      <c r="BG63" s="488"/>
      <c r="BH63" s="488"/>
      <c r="BI63" s="488"/>
      <c r="BJ63" s="489"/>
      <c r="BK63" s="488"/>
      <c r="BL63" s="488"/>
      <c r="BM63" s="488"/>
      <c r="BN63" s="488"/>
      <c r="BO63" s="488"/>
      <c r="BP63" s="488"/>
      <c r="BQ63" s="488"/>
      <c r="BR63" s="488"/>
      <c r="BS63" s="488"/>
      <c r="BT63" s="489"/>
      <c r="BU63" s="488"/>
      <c r="BV63" s="488"/>
      <c r="BW63" s="488"/>
      <c r="BX63" s="488"/>
      <c r="BY63" s="488"/>
      <c r="BZ63" s="488"/>
      <c r="CA63" s="488"/>
      <c r="CB63" s="488"/>
      <c r="CC63" s="488"/>
      <c r="CD63" s="489"/>
      <c r="CE63" s="488"/>
      <c r="CF63" s="488"/>
      <c r="CG63" s="488"/>
      <c r="CH63" s="488"/>
      <c r="CI63" s="488"/>
      <c r="CJ63" s="488"/>
      <c r="CK63" s="488"/>
      <c r="CL63" s="488"/>
      <c r="CM63" s="488"/>
      <c r="CN63" s="489"/>
      <c r="CO63" s="488"/>
      <c r="CP63" s="488"/>
      <c r="CQ63" s="488"/>
      <c r="CR63" s="488"/>
      <c r="CS63" s="488"/>
      <c r="CT63" s="488"/>
      <c r="CU63" s="488"/>
      <c r="CV63" s="488"/>
      <c r="CW63" s="488"/>
      <c r="CX63" s="489"/>
      <c r="CY63" s="488"/>
      <c r="CZ63" s="488"/>
      <c r="DA63" s="488"/>
      <c r="DB63" s="488"/>
      <c r="DC63" s="488"/>
      <c r="DD63" s="488"/>
      <c r="DE63" s="488"/>
      <c r="DF63" s="488"/>
      <c r="DG63" s="488"/>
      <c r="DH63" s="489"/>
      <c r="DI63" s="488"/>
      <c r="DJ63" s="488"/>
      <c r="DK63" s="488"/>
      <c r="DL63" s="488"/>
      <c r="DM63" s="488"/>
      <c r="DN63" s="488"/>
      <c r="DO63" s="488"/>
      <c r="DP63" s="488"/>
      <c r="DQ63" s="488"/>
      <c r="DR63" s="489"/>
      <c r="DS63" s="488"/>
      <c r="DT63" s="488"/>
      <c r="DU63" s="488"/>
      <c r="DV63" s="488"/>
      <c r="DW63" s="488"/>
      <c r="DX63" s="488"/>
      <c r="DY63" s="488"/>
      <c r="DZ63" s="488"/>
      <c r="EA63" s="488"/>
      <c r="EB63" s="489"/>
      <c r="EC63" s="488"/>
      <c r="ED63" s="488"/>
      <c r="EE63" s="488"/>
      <c r="EF63" s="488"/>
      <c r="EG63" s="488"/>
      <c r="EH63" s="488"/>
      <c r="EI63" s="488"/>
      <c r="EJ63" s="488"/>
      <c r="EK63" s="488"/>
      <c r="EL63" s="489"/>
      <c r="EM63" s="488"/>
      <c r="EN63" s="488"/>
      <c r="EO63" s="488"/>
      <c r="EP63" s="488"/>
      <c r="EQ63" s="488"/>
      <c r="ER63" s="488"/>
      <c r="ES63" s="488"/>
      <c r="ET63" s="488"/>
      <c r="EU63" s="488"/>
      <c r="EV63" s="489"/>
    </row>
    <row r="64" spans="1:152" s="496" customFormat="1" ht="13.5" customHeight="1">
      <c r="A64" s="53"/>
      <c r="B64" s="489"/>
      <c r="C64" s="489"/>
      <c r="D64" s="489"/>
      <c r="E64" s="489"/>
      <c r="F64" s="489"/>
      <c r="G64" s="489"/>
      <c r="H64" s="489"/>
      <c r="I64" s="489"/>
      <c r="J64" s="489"/>
      <c r="K64" s="489"/>
      <c r="L64" s="489"/>
      <c r="M64" s="489"/>
      <c r="N64" s="489"/>
      <c r="O64" s="489"/>
      <c r="P64" s="489"/>
      <c r="Q64" s="489"/>
      <c r="R64" s="489"/>
      <c r="S64" s="489"/>
      <c r="T64" s="489"/>
      <c r="U64" s="489"/>
      <c r="V64" s="489"/>
      <c r="W64" s="488"/>
      <c r="X64" s="488"/>
      <c r="Y64" s="488"/>
      <c r="Z64" s="488"/>
      <c r="AA64" s="488"/>
      <c r="AB64" s="488"/>
      <c r="AC64" s="488"/>
      <c r="AD64" s="488"/>
      <c r="AE64" s="488"/>
      <c r="AF64" s="489"/>
      <c r="AG64" s="488"/>
      <c r="AH64" s="488"/>
      <c r="AI64" s="488"/>
      <c r="AJ64" s="488"/>
      <c r="AK64" s="488"/>
      <c r="AL64" s="488"/>
      <c r="AM64" s="488"/>
      <c r="AN64" s="488"/>
      <c r="AO64" s="488"/>
      <c r="AP64" s="489"/>
      <c r="AQ64" s="488"/>
      <c r="AR64" s="488"/>
      <c r="AS64" s="488"/>
      <c r="AT64" s="488"/>
      <c r="AU64" s="488"/>
      <c r="AV64" s="488"/>
      <c r="AW64" s="488"/>
      <c r="AX64" s="488"/>
      <c r="AY64" s="488"/>
      <c r="AZ64" s="489"/>
      <c r="BA64" s="488"/>
      <c r="BB64" s="488"/>
      <c r="BC64" s="488"/>
      <c r="BD64" s="488"/>
      <c r="BE64" s="488"/>
      <c r="BF64" s="488"/>
      <c r="BG64" s="488"/>
      <c r="BH64" s="488"/>
      <c r="BI64" s="488"/>
      <c r="BJ64" s="489"/>
      <c r="BK64" s="488"/>
      <c r="BL64" s="488"/>
      <c r="BM64" s="488"/>
      <c r="BN64" s="488"/>
      <c r="BO64" s="488"/>
      <c r="BP64" s="488"/>
      <c r="BQ64" s="488"/>
      <c r="BR64" s="488"/>
      <c r="BS64" s="488"/>
      <c r="BT64" s="489"/>
      <c r="BU64" s="488"/>
      <c r="BV64" s="488"/>
      <c r="BW64" s="488"/>
      <c r="BX64" s="488"/>
      <c r="BY64" s="488"/>
      <c r="BZ64" s="488"/>
      <c r="CA64" s="488"/>
      <c r="CB64" s="488"/>
      <c r="CC64" s="488"/>
      <c r="CD64" s="489"/>
      <c r="CE64" s="488"/>
      <c r="CF64" s="488"/>
      <c r="CG64" s="488"/>
      <c r="CH64" s="488"/>
      <c r="CI64" s="488"/>
      <c r="CJ64" s="488"/>
      <c r="CK64" s="488"/>
      <c r="CL64" s="488"/>
      <c r="CM64" s="488"/>
      <c r="CN64" s="489"/>
      <c r="CO64" s="488"/>
      <c r="CP64" s="488"/>
      <c r="CQ64" s="488"/>
      <c r="CR64" s="488"/>
      <c r="CS64" s="488"/>
      <c r="CT64" s="488"/>
      <c r="CU64" s="488"/>
      <c r="CV64" s="488"/>
      <c r="CW64" s="488"/>
      <c r="CX64" s="489"/>
      <c r="CY64" s="488"/>
      <c r="CZ64" s="488"/>
      <c r="DA64" s="488"/>
      <c r="DB64" s="488"/>
      <c r="DC64" s="488"/>
      <c r="DD64" s="488"/>
      <c r="DE64" s="488"/>
      <c r="DF64" s="488"/>
      <c r="DG64" s="488"/>
      <c r="DH64" s="489"/>
      <c r="DI64" s="488"/>
      <c r="DJ64" s="488"/>
      <c r="DK64" s="488"/>
      <c r="DL64" s="488"/>
      <c r="DM64" s="488"/>
      <c r="DN64" s="488"/>
      <c r="DO64" s="488"/>
      <c r="DP64" s="488"/>
      <c r="DQ64" s="488"/>
      <c r="DR64" s="489"/>
      <c r="DS64" s="488"/>
      <c r="DT64" s="488"/>
      <c r="DU64" s="488"/>
      <c r="DV64" s="488"/>
      <c r="DW64" s="488"/>
      <c r="DX64" s="488"/>
      <c r="DY64" s="488"/>
      <c r="DZ64" s="488"/>
      <c r="EA64" s="488"/>
      <c r="EB64" s="489"/>
      <c r="EC64" s="488"/>
      <c r="ED64" s="488"/>
      <c r="EE64" s="488"/>
      <c r="EF64" s="488"/>
      <c r="EG64" s="488"/>
      <c r="EH64" s="488"/>
      <c r="EI64" s="488"/>
      <c r="EJ64" s="488"/>
      <c r="EK64" s="488"/>
      <c r="EL64" s="489"/>
      <c r="EM64" s="488"/>
      <c r="EN64" s="488"/>
      <c r="EO64" s="488"/>
      <c r="EP64" s="488"/>
      <c r="EQ64" s="488"/>
      <c r="ER64" s="488"/>
      <c r="ES64" s="488"/>
      <c r="ET64" s="488"/>
      <c r="EU64" s="488"/>
      <c r="EV64" s="489"/>
    </row>
    <row r="65" spans="1:152" s="496" customFormat="1" ht="13.5" customHeight="1">
      <c r="A65" s="69" t="s">
        <v>52</v>
      </c>
      <c r="D65" s="1263" t="s">
        <v>15</v>
      </c>
      <c r="E65" s="1263"/>
      <c r="F65" s="1263"/>
      <c r="G65" s="1263"/>
      <c r="AF65" s="497"/>
      <c r="AP65" s="497"/>
      <c r="AZ65" s="497"/>
      <c r="BA65" s="494"/>
      <c r="BB65" s="494"/>
      <c r="BC65" s="494"/>
      <c r="BD65" s="494"/>
      <c r="BE65" s="494"/>
      <c r="BF65" s="494"/>
      <c r="BG65" s="494"/>
      <c r="BH65" s="494"/>
      <c r="BI65" s="494"/>
      <c r="BJ65" s="497"/>
      <c r="BK65" s="494"/>
      <c r="BL65" s="494"/>
      <c r="BM65" s="494"/>
      <c r="BN65" s="494"/>
      <c r="BO65" s="494"/>
      <c r="BP65" s="494"/>
      <c r="BQ65" s="494"/>
      <c r="BR65" s="494"/>
      <c r="BS65" s="494"/>
      <c r="BT65" s="497"/>
      <c r="BU65" s="494"/>
      <c r="BV65" s="494"/>
      <c r="BW65" s="494"/>
      <c r="BX65" s="494"/>
      <c r="BY65" s="494"/>
      <c r="BZ65" s="494"/>
      <c r="CA65" s="494"/>
      <c r="CB65" s="494"/>
      <c r="CC65" s="494"/>
      <c r="CD65" s="497"/>
      <c r="CE65" s="494"/>
      <c r="CF65" s="494"/>
      <c r="CG65" s="494"/>
      <c r="CH65" s="494"/>
      <c r="CI65" s="494"/>
      <c r="CJ65" s="494"/>
      <c r="CK65" s="494"/>
      <c r="CL65" s="494"/>
      <c r="CM65" s="494"/>
      <c r="CN65" s="497"/>
      <c r="CO65" s="494"/>
      <c r="CP65" s="494"/>
      <c r="CQ65" s="494"/>
      <c r="CR65" s="494"/>
      <c r="CS65" s="494"/>
      <c r="CT65" s="494"/>
      <c r="CU65" s="494"/>
      <c r="CV65" s="494"/>
      <c r="CW65" s="494"/>
      <c r="CX65" s="497"/>
      <c r="CY65" s="494"/>
      <c r="CZ65" s="494"/>
      <c r="DA65" s="494"/>
      <c r="DB65" s="494"/>
      <c r="DC65" s="494"/>
      <c r="DD65" s="494"/>
      <c r="DE65" s="494"/>
      <c r="DF65" s="494"/>
      <c r="DG65" s="494"/>
      <c r="DH65" s="497"/>
      <c r="DI65" s="494"/>
      <c r="DJ65" s="494"/>
      <c r="DK65" s="494"/>
      <c r="DL65" s="494"/>
      <c r="DM65" s="494"/>
      <c r="DN65" s="494"/>
      <c r="DO65" s="494"/>
      <c r="DP65" s="494"/>
      <c r="DQ65" s="494"/>
      <c r="DR65" s="497"/>
      <c r="DS65" s="494"/>
      <c r="DT65" s="494"/>
      <c r="DU65" s="494"/>
      <c r="DV65" s="494"/>
      <c r="DW65" s="494"/>
      <c r="DX65" s="494"/>
      <c r="DY65" s="494"/>
      <c r="DZ65" s="494"/>
      <c r="EA65" s="494"/>
      <c r="EB65" s="489"/>
      <c r="EC65" s="494"/>
      <c r="ED65" s="494"/>
      <c r="EE65" s="494"/>
      <c r="EF65" s="494"/>
      <c r="EG65" s="494"/>
      <c r="EH65" s="494"/>
      <c r="EI65" s="494"/>
      <c r="EJ65" s="494"/>
      <c r="EK65" s="494"/>
      <c r="EL65" s="489"/>
      <c r="EM65" s="494"/>
      <c r="EN65" s="494"/>
      <c r="EO65" s="494"/>
      <c r="EP65" s="494"/>
      <c r="EQ65" s="494"/>
      <c r="ER65" s="494"/>
      <c r="ES65" s="494"/>
      <c r="ET65" s="494"/>
      <c r="EU65" s="494"/>
      <c r="EV65" s="489"/>
    </row>
    <row r="66" spans="1:152" s="485" customFormat="1" ht="13.5" customHeight="1">
      <c r="A66" s="483" t="s">
        <v>43</v>
      </c>
      <c r="B66" s="484">
        <v>0</v>
      </c>
      <c r="C66" s="484">
        <v>0</v>
      </c>
      <c r="D66" s="484">
        <v>0</v>
      </c>
      <c r="E66" s="484">
        <v>0</v>
      </c>
      <c r="F66" s="1271">
        <v>8</v>
      </c>
      <c r="G66" s="484">
        <v>0</v>
      </c>
      <c r="H66" s="484">
        <v>0</v>
      </c>
      <c r="I66" s="484">
        <v>0</v>
      </c>
      <c r="J66" s="484">
        <v>0</v>
      </c>
      <c r="K66" s="1271">
        <v>0</v>
      </c>
      <c r="L66" s="484">
        <v>0</v>
      </c>
      <c r="M66" s="484">
        <v>0</v>
      </c>
      <c r="N66" s="484">
        <v>0</v>
      </c>
      <c r="O66" s="484">
        <v>0</v>
      </c>
      <c r="P66" s="1271">
        <v>0</v>
      </c>
      <c r="Q66" s="484">
        <v>0</v>
      </c>
      <c r="R66" s="484">
        <v>0</v>
      </c>
      <c r="S66" s="484">
        <v>0</v>
      </c>
      <c r="T66" s="484">
        <v>0</v>
      </c>
      <c r="U66" s="1271">
        <v>0</v>
      </c>
      <c r="V66" s="484">
        <v>0</v>
      </c>
      <c r="W66" s="484">
        <v>0</v>
      </c>
      <c r="X66" s="484">
        <v>0</v>
      </c>
      <c r="Y66" s="484">
        <v>0</v>
      </c>
      <c r="Z66" s="1271">
        <v>0</v>
      </c>
      <c r="AA66" s="484">
        <v>0</v>
      </c>
      <c r="AB66" s="484">
        <v>0</v>
      </c>
      <c r="AC66" s="484">
        <v>0</v>
      </c>
      <c r="AD66" s="484">
        <v>0</v>
      </c>
      <c r="AE66" s="1271">
        <v>0</v>
      </c>
      <c r="AF66" s="484">
        <v>0</v>
      </c>
      <c r="AG66" s="484">
        <v>0</v>
      </c>
      <c r="AH66" s="484">
        <v>0</v>
      </c>
      <c r="AI66" s="484">
        <v>0</v>
      </c>
      <c r="AJ66" s="1271">
        <v>0</v>
      </c>
      <c r="AK66" s="484">
        <v>0</v>
      </c>
      <c r="AL66" s="484">
        <v>0</v>
      </c>
      <c r="AM66" s="484">
        <v>0</v>
      </c>
      <c r="AN66" s="484">
        <v>0</v>
      </c>
      <c r="AO66" s="1271">
        <v>0</v>
      </c>
      <c r="AP66" s="484">
        <v>0</v>
      </c>
      <c r="AQ66" s="484">
        <v>0</v>
      </c>
      <c r="AR66" s="484">
        <v>0</v>
      </c>
      <c r="AS66" s="484">
        <v>0</v>
      </c>
      <c r="AT66" s="1271">
        <v>0</v>
      </c>
      <c r="AU66" s="484">
        <v>0</v>
      </c>
      <c r="AV66" s="484">
        <v>0</v>
      </c>
      <c r="AW66" s="484">
        <v>0</v>
      </c>
      <c r="AX66" s="484">
        <v>0</v>
      </c>
      <c r="AY66" s="1271">
        <v>0</v>
      </c>
      <c r="AZ66" s="484">
        <v>0</v>
      </c>
      <c r="BA66" s="484">
        <v>0</v>
      </c>
      <c r="BB66" s="484">
        <v>0</v>
      </c>
      <c r="BC66" s="484">
        <v>0</v>
      </c>
      <c r="BD66" s="1271">
        <v>0</v>
      </c>
      <c r="BE66" s="484">
        <v>0</v>
      </c>
      <c r="BF66" s="484">
        <v>0</v>
      </c>
      <c r="BG66" s="484">
        <v>0</v>
      </c>
      <c r="BH66" s="484">
        <v>0</v>
      </c>
      <c r="BI66" s="1271">
        <v>0</v>
      </c>
      <c r="BJ66" s="484">
        <v>0</v>
      </c>
      <c r="BK66" s="484">
        <v>0</v>
      </c>
      <c r="BL66" s="484">
        <v>0</v>
      </c>
      <c r="BM66" s="484">
        <v>0</v>
      </c>
      <c r="BN66" s="484">
        <v>0</v>
      </c>
      <c r="BO66" s="484">
        <v>0</v>
      </c>
      <c r="BP66" s="484">
        <v>0</v>
      </c>
      <c r="BQ66" s="484">
        <v>0</v>
      </c>
      <c r="BR66" s="484">
        <v>0</v>
      </c>
      <c r="BS66" s="484">
        <v>0</v>
      </c>
      <c r="BT66" s="484">
        <v>0</v>
      </c>
      <c r="BU66" s="484">
        <v>0</v>
      </c>
      <c r="BV66" s="484">
        <v>0</v>
      </c>
      <c r="BW66" s="484">
        <v>0</v>
      </c>
      <c r="BX66" s="484">
        <v>0</v>
      </c>
      <c r="BY66" s="484">
        <v>0</v>
      </c>
      <c r="BZ66" s="484">
        <v>0</v>
      </c>
      <c r="CA66" s="484">
        <v>0</v>
      </c>
      <c r="CB66" s="484">
        <v>0</v>
      </c>
      <c r="CC66" s="484">
        <v>0</v>
      </c>
      <c r="CD66" s="484">
        <v>0</v>
      </c>
      <c r="CE66" s="484">
        <v>0</v>
      </c>
      <c r="CF66" s="484">
        <v>0</v>
      </c>
      <c r="CG66" s="484">
        <v>0</v>
      </c>
      <c r="CH66" s="484">
        <v>0</v>
      </c>
      <c r="CI66" s="484">
        <v>0</v>
      </c>
      <c r="CJ66" s="484">
        <v>0</v>
      </c>
      <c r="CK66" s="484">
        <v>0</v>
      </c>
      <c r="CL66" s="484">
        <v>0</v>
      </c>
      <c r="CM66" s="484">
        <v>0</v>
      </c>
      <c r="CN66" s="484">
        <v>0</v>
      </c>
      <c r="CO66" s="484">
        <v>0</v>
      </c>
      <c r="CP66" s="484">
        <v>0</v>
      </c>
      <c r="CQ66" s="484">
        <v>0</v>
      </c>
      <c r="CR66" s="484">
        <v>0</v>
      </c>
      <c r="CS66" s="484">
        <v>0</v>
      </c>
      <c r="CT66" s="484">
        <v>0</v>
      </c>
      <c r="CU66" s="484">
        <v>0</v>
      </c>
      <c r="CV66" s="484">
        <v>0</v>
      </c>
      <c r="CW66" s="484">
        <v>0</v>
      </c>
      <c r="CX66" s="484">
        <v>0</v>
      </c>
      <c r="CY66" s="484">
        <v>0</v>
      </c>
      <c r="CZ66" s="484">
        <v>0</v>
      </c>
      <c r="DA66" s="484">
        <v>0</v>
      </c>
      <c r="DB66" s="484">
        <v>0</v>
      </c>
      <c r="DC66" s="484">
        <v>0</v>
      </c>
      <c r="DD66" s="484">
        <v>0</v>
      </c>
      <c r="DE66" s="484">
        <v>0</v>
      </c>
      <c r="DF66" s="484">
        <v>0</v>
      </c>
      <c r="DG66" s="484">
        <v>0</v>
      </c>
      <c r="DH66" s="484">
        <v>0</v>
      </c>
      <c r="DI66" s="484">
        <v>0</v>
      </c>
      <c r="DJ66" s="484">
        <v>0</v>
      </c>
      <c r="DK66" s="484">
        <v>0</v>
      </c>
      <c r="DL66" s="484">
        <v>0</v>
      </c>
      <c r="DM66" s="484">
        <v>0</v>
      </c>
      <c r="DN66" s="484">
        <v>0</v>
      </c>
      <c r="DO66" s="484">
        <v>0</v>
      </c>
      <c r="DP66" s="484">
        <v>0</v>
      </c>
      <c r="DQ66" s="484">
        <v>0</v>
      </c>
      <c r="DR66" s="484">
        <v>0</v>
      </c>
      <c r="DS66" s="484">
        <v>0</v>
      </c>
      <c r="DT66" s="484">
        <v>0</v>
      </c>
      <c r="DU66" s="484">
        <v>0</v>
      </c>
      <c r="DV66" s="484">
        <v>0</v>
      </c>
      <c r="DW66" s="484">
        <v>0</v>
      </c>
      <c r="DX66" s="484">
        <v>0</v>
      </c>
      <c r="DY66" s="484">
        <v>0</v>
      </c>
      <c r="DZ66" s="484">
        <v>0</v>
      </c>
      <c r="EA66" s="484">
        <v>0</v>
      </c>
      <c r="EB66" s="484">
        <v>0</v>
      </c>
      <c r="EC66" s="484">
        <v>0</v>
      </c>
      <c r="ED66" s="484">
        <v>0</v>
      </c>
      <c r="EE66" s="484">
        <v>0</v>
      </c>
      <c r="EF66" s="484">
        <v>0</v>
      </c>
      <c r="EG66" s="484">
        <v>0</v>
      </c>
      <c r="EH66" s="484">
        <v>0</v>
      </c>
      <c r="EI66" s="484">
        <v>0</v>
      </c>
      <c r="EJ66" s="484">
        <v>0</v>
      </c>
      <c r="EK66" s="484">
        <v>0</v>
      </c>
      <c r="EL66" s="484">
        <v>0</v>
      </c>
      <c r="EM66" s="484">
        <v>0</v>
      </c>
      <c r="EN66" s="484">
        <v>0</v>
      </c>
      <c r="EO66" s="484">
        <v>0</v>
      </c>
      <c r="EP66" s="484">
        <v>0</v>
      </c>
      <c r="EQ66" s="484">
        <v>0</v>
      </c>
      <c r="ER66" s="484">
        <v>0</v>
      </c>
      <c r="ES66" s="484">
        <v>0</v>
      </c>
      <c r="ET66" s="484">
        <v>0</v>
      </c>
      <c r="EU66" s="484">
        <v>0</v>
      </c>
      <c r="EV66" s="484">
        <v>0</v>
      </c>
    </row>
    <row r="67" spans="1:152" s="485" customFormat="1" ht="13.5" customHeight="1">
      <c r="A67" s="6" t="s">
        <v>7</v>
      </c>
      <c r="B67" s="1274">
        <v>9.8</v>
      </c>
      <c r="C67" s="1274">
        <v>9.8</v>
      </c>
      <c r="D67" s="1274">
        <v>9.8</v>
      </c>
      <c r="E67" s="1274">
        <v>9.8</v>
      </c>
      <c r="F67" s="1274">
        <v>9.8</v>
      </c>
      <c r="G67" s="1274">
        <v>9.8</v>
      </c>
      <c r="H67" s="1274">
        <v>9.8</v>
      </c>
      <c r="I67" s="1274">
        <v>9.8</v>
      </c>
      <c r="J67" s="1274">
        <v>9.8</v>
      </c>
      <c r="K67" s="1274">
        <v>9.8</v>
      </c>
      <c r="L67" s="1274">
        <v>9.8</v>
      </c>
      <c r="M67" s="1274">
        <v>9.8</v>
      </c>
      <c r="N67" s="1274">
        <v>9.8</v>
      </c>
      <c r="O67" s="1274">
        <v>9.8</v>
      </c>
      <c r="P67" s="1274">
        <v>9.8</v>
      </c>
      <c r="Q67" s="1274">
        <v>9.8</v>
      </c>
      <c r="R67" s="1274">
        <v>9.8</v>
      </c>
      <c r="S67" s="1274">
        <v>9.8</v>
      </c>
      <c r="T67" s="1274">
        <v>9.8</v>
      </c>
      <c r="U67" s="1274">
        <v>9.8</v>
      </c>
      <c r="V67" s="1271">
        <v>9.8</v>
      </c>
      <c r="W67" s="1274">
        <v>9.67</v>
      </c>
      <c r="X67" s="1274">
        <v>9.54</v>
      </c>
      <c r="Y67" s="1274">
        <v>9.41</v>
      </c>
      <c r="Z67" s="1274">
        <v>9.28</v>
      </c>
      <c r="AA67" s="1274">
        <v>9.15</v>
      </c>
      <c r="AB67" s="1274">
        <v>9.02</v>
      </c>
      <c r="AC67" s="1274">
        <v>8.89</v>
      </c>
      <c r="AD67" s="1274">
        <v>8.759999999999994</v>
      </c>
      <c r="AE67" s="1274">
        <v>8.629999999999994</v>
      </c>
      <c r="AF67" s="1271">
        <v>8.5</v>
      </c>
      <c r="AG67" s="1274">
        <v>8.27</v>
      </c>
      <c r="AH67" s="1274">
        <v>8.04</v>
      </c>
      <c r="AI67" s="1274">
        <v>7.81</v>
      </c>
      <c r="AJ67" s="1274">
        <v>7.58</v>
      </c>
      <c r="AK67" s="1274">
        <v>7.35</v>
      </c>
      <c r="AL67" s="1274">
        <v>7.12</v>
      </c>
      <c r="AM67" s="1274">
        <v>6.89</v>
      </c>
      <c r="AN67" s="1274">
        <v>6.66</v>
      </c>
      <c r="AO67" s="1274">
        <v>6.43</v>
      </c>
      <c r="AP67" s="1271">
        <v>6.2</v>
      </c>
      <c r="AQ67" s="1274">
        <v>6</v>
      </c>
      <c r="AR67" s="1274">
        <v>5.8</v>
      </c>
      <c r="AS67" s="1274">
        <v>5.6</v>
      </c>
      <c r="AT67" s="1274">
        <v>5.4</v>
      </c>
      <c r="AU67" s="1274">
        <v>5.2</v>
      </c>
      <c r="AV67" s="1274">
        <v>5</v>
      </c>
      <c r="AW67" s="1274">
        <v>4.8</v>
      </c>
      <c r="AX67" s="1274">
        <v>4.6</v>
      </c>
      <c r="AY67" s="1274">
        <v>4.4</v>
      </c>
      <c r="AZ67" s="1271">
        <v>4.2</v>
      </c>
      <c r="BA67" s="1274">
        <v>0</v>
      </c>
      <c r="BB67" s="1274">
        <v>0</v>
      </c>
      <c r="BC67" s="1274">
        <v>0</v>
      </c>
      <c r="BD67" s="1274">
        <v>0</v>
      </c>
      <c r="BE67" s="1274">
        <v>0</v>
      </c>
      <c r="BF67" s="1274">
        <v>0</v>
      </c>
      <c r="BG67" s="1274">
        <v>0</v>
      </c>
      <c r="BH67" s="1274">
        <v>0</v>
      </c>
      <c r="BI67" s="1274">
        <v>0</v>
      </c>
      <c r="BJ67" s="1271">
        <v>0</v>
      </c>
      <c r="BK67" s="1274">
        <v>0</v>
      </c>
      <c r="BL67" s="1274">
        <v>0</v>
      </c>
      <c r="BM67" s="1274">
        <v>0</v>
      </c>
      <c r="BN67" s="1274">
        <v>0</v>
      </c>
      <c r="BO67" s="1274">
        <v>0</v>
      </c>
      <c r="BP67" s="1274">
        <v>0</v>
      </c>
      <c r="BQ67" s="1274">
        <v>0</v>
      </c>
      <c r="BR67" s="1274">
        <v>0</v>
      </c>
      <c r="BS67" s="1274">
        <v>0</v>
      </c>
      <c r="BT67" s="1271">
        <v>0</v>
      </c>
      <c r="BU67" s="1274">
        <v>0</v>
      </c>
      <c r="BV67" s="1274">
        <v>0</v>
      </c>
      <c r="BW67" s="1274">
        <v>0</v>
      </c>
      <c r="BX67" s="1274">
        <v>0</v>
      </c>
      <c r="BY67" s="1274">
        <v>0</v>
      </c>
      <c r="BZ67" s="1274">
        <v>0</v>
      </c>
      <c r="CA67" s="1274">
        <v>0</v>
      </c>
      <c r="CB67" s="1274">
        <v>0</v>
      </c>
      <c r="CC67" s="1274">
        <v>0</v>
      </c>
      <c r="CD67" s="1271">
        <v>0</v>
      </c>
      <c r="CE67" s="1274">
        <v>0</v>
      </c>
      <c r="CF67" s="1274">
        <v>0</v>
      </c>
      <c r="CG67" s="1274">
        <v>0</v>
      </c>
      <c r="CH67" s="1274">
        <v>0</v>
      </c>
      <c r="CI67" s="1274">
        <v>0</v>
      </c>
      <c r="CJ67" s="1274">
        <v>0</v>
      </c>
      <c r="CK67" s="1274">
        <v>0</v>
      </c>
      <c r="CL67" s="1274">
        <v>0</v>
      </c>
      <c r="CM67" s="1274">
        <v>0</v>
      </c>
      <c r="CN67" s="1271">
        <v>0</v>
      </c>
      <c r="CO67" s="1274">
        <v>0</v>
      </c>
      <c r="CP67" s="1274">
        <v>0</v>
      </c>
      <c r="CQ67" s="1274">
        <v>0</v>
      </c>
      <c r="CR67" s="1274">
        <v>0</v>
      </c>
      <c r="CS67" s="1274">
        <v>0</v>
      </c>
      <c r="CT67" s="1274">
        <v>0</v>
      </c>
      <c r="CU67" s="1274">
        <v>0</v>
      </c>
      <c r="CV67" s="1274">
        <v>0</v>
      </c>
      <c r="CW67" s="1274">
        <v>0</v>
      </c>
      <c r="CX67" s="1271">
        <v>0</v>
      </c>
      <c r="CY67" s="1274">
        <v>0</v>
      </c>
      <c r="CZ67" s="1274">
        <v>0</v>
      </c>
      <c r="DA67" s="1274">
        <v>0</v>
      </c>
      <c r="DB67" s="1274">
        <v>0</v>
      </c>
      <c r="DC67" s="1274">
        <v>0</v>
      </c>
      <c r="DD67" s="1274">
        <v>0</v>
      </c>
      <c r="DE67" s="1274">
        <v>0</v>
      </c>
      <c r="DF67" s="1274">
        <v>0</v>
      </c>
      <c r="DG67" s="1274">
        <v>0</v>
      </c>
      <c r="DH67" s="1271">
        <v>0</v>
      </c>
      <c r="DI67" s="1274">
        <v>0</v>
      </c>
      <c r="DJ67" s="1274">
        <v>0</v>
      </c>
      <c r="DK67" s="1274">
        <v>0</v>
      </c>
      <c r="DL67" s="1274">
        <v>0</v>
      </c>
      <c r="DM67" s="1274">
        <v>0</v>
      </c>
      <c r="DN67" s="1274">
        <v>0</v>
      </c>
      <c r="DO67" s="1274">
        <v>0</v>
      </c>
      <c r="DP67" s="1274">
        <v>0</v>
      </c>
      <c r="DQ67" s="1274">
        <v>0</v>
      </c>
      <c r="DR67" s="1271">
        <v>0</v>
      </c>
      <c r="DS67" s="1274">
        <v>0</v>
      </c>
      <c r="DT67" s="1274">
        <v>0</v>
      </c>
      <c r="DU67" s="1274">
        <v>0</v>
      </c>
      <c r="DV67" s="1274">
        <v>0</v>
      </c>
      <c r="DW67" s="1274">
        <v>0</v>
      </c>
      <c r="DX67" s="1274">
        <v>0</v>
      </c>
      <c r="DY67" s="1274">
        <v>0</v>
      </c>
      <c r="DZ67" s="1274">
        <v>0</v>
      </c>
      <c r="EA67" s="1274">
        <v>0</v>
      </c>
      <c r="EB67" s="1271">
        <v>0</v>
      </c>
      <c r="EC67" s="1274">
        <v>0</v>
      </c>
      <c r="ED67" s="1274">
        <v>0</v>
      </c>
      <c r="EE67" s="1274">
        <v>0</v>
      </c>
      <c r="EF67" s="1274">
        <v>0</v>
      </c>
      <c r="EG67" s="1274">
        <v>0</v>
      </c>
      <c r="EH67" s="1274">
        <v>0</v>
      </c>
      <c r="EI67" s="1274">
        <v>0</v>
      </c>
      <c r="EJ67" s="1274">
        <v>0</v>
      </c>
      <c r="EK67" s="1274">
        <v>0</v>
      </c>
      <c r="EL67" s="1271">
        <v>0</v>
      </c>
      <c r="EM67" s="1274">
        <v>0</v>
      </c>
      <c r="EN67" s="1274">
        <v>0</v>
      </c>
      <c r="EO67" s="1274">
        <v>0</v>
      </c>
      <c r="EP67" s="1274">
        <v>0</v>
      </c>
      <c r="EQ67" s="1274">
        <v>0</v>
      </c>
      <c r="ER67" s="1274">
        <v>0</v>
      </c>
      <c r="ES67" s="1274">
        <v>0</v>
      </c>
      <c r="ET67" s="1274">
        <v>0</v>
      </c>
      <c r="EU67" s="1274">
        <v>0</v>
      </c>
      <c r="EV67" s="1271">
        <v>0</v>
      </c>
    </row>
    <row r="68" s="496" customFormat="1" ht="13.5" customHeight="1"/>
    <row r="69" spans="1:152" s="496" customFormat="1" ht="13.5" customHeight="1">
      <c r="A69" s="53"/>
      <c r="B69" s="488"/>
      <c r="C69" s="488"/>
      <c r="D69" s="488"/>
      <c r="E69" s="488"/>
      <c r="F69" s="488"/>
      <c r="G69" s="488"/>
      <c r="H69" s="488"/>
      <c r="I69" s="488"/>
      <c r="J69" s="488"/>
      <c r="K69" s="488"/>
      <c r="L69" s="488"/>
      <c r="M69" s="488"/>
      <c r="N69" s="488"/>
      <c r="O69" s="488"/>
      <c r="P69" s="488"/>
      <c r="Q69" s="488"/>
      <c r="R69" s="488"/>
      <c r="S69" s="488"/>
      <c r="T69" s="488"/>
      <c r="U69" s="488"/>
      <c r="V69" s="489"/>
      <c r="W69" s="488"/>
      <c r="X69" s="488"/>
      <c r="Y69" s="488"/>
      <c r="Z69" s="488"/>
      <c r="AA69" s="488"/>
      <c r="AB69" s="488"/>
      <c r="AC69" s="488"/>
      <c r="AD69" s="488"/>
      <c r="AE69" s="488"/>
      <c r="AF69" s="489"/>
      <c r="AG69" s="488"/>
      <c r="AH69" s="488"/>
      <c r="AI69" s="488"/>
      <c r="AJ69" s="488"/>
      <c r="AK69" s="488"/>
      <c r="AL69" s="488"/>
      <c r="AM69" s="488"/>
      <c r="AN69" s="488"/>
      <c r="AO69" s="488"/>
      <c r="AP69" s="489"/>
      <c r="AQ69" s="488"/>
      <c r="AR69" s="488"/>
      <c r="AS69" s="488"/>
      <c r="AT69" s="488"/>
      <c r="AU69" s="488"/>
      <c r="AV69" s="488"/>
      <c r="AW69" s="488"/>
      <c r="AX69" s="488"/>
      <c r="AY69" s="488"/>
      <c r="AZ69" s="489"/>
      <c r="BA69" s="488"/>
      <c r="BB69" s="488"/>
      <c r="BC69" s="488"/>
      <c r="BD69" s="488"/>
      <c r="BE69" s="488"/>
      <c r="BF69" s="488"/>
      <c r="BG69" s="488"/>
      <c r="BH69" s="488"/>
      <c r="BI69" s="488"/>
      <c r="BJ69" s="489"/>
      <c r="BK69" s="488"/>
      <c r="BL69" s="488"/>
      <c r="BM69" s="488"/>
      <c r="BN69" s="488"/>
      <c r="BO69" s="488"/>
      <c r="BP69" s="488"/>
      <c r="BQ69" s="488"/>
      <c r="BR69" s="488"/>
      <c r="BS69" s="488"/>
      <c r="BT69" s="489"/>
      <c r="BU69" s="488"/>
      <c r="BV69" s="488"/>
      <c r="BW69" s="488"/>
      <c r="BX69" s="488"/>
      <c r="BY69" s="488"/>
      <c r="BZ69" s="488"/>
      <c r="CA69" s="488"/>
      <c r="CB69" s="488"/>
      <c r="CC69" s="488"/>
      <c r="CD69" s="489"/>
      <c r="CE69" s="488"/>
      <c r="CF69" s="488"/>
      <c r="CG69" s="488"/>
      <c r="CH69" s="488"/>
      <c r="CI69" s="488"/>
      <c r="CJ69" s="488"/>
      <c r="CK69" s="488"/>
      <c r="CL69" s="488"/>
      <c r="CM69" s="488"/>
      <c r="CN69" s="489"/>
      <c r="CO69" s="488"/>
      <c r="CP69" s="488"/>
      <c r="CQ69" s="488"/>
      <c r="CR69" s="488"/>
      <c r="CS69" s="488"/>
      <c r="CT69" s="488"/>
      <c r="CU69" s="488"/>
      <c r="CV69" s="488"/>
      <c r="CW69" s="488"/>
      <c r="CX69" s="489"/>
      <c r="CY69" s="488"/>
      <c r="CZ69" s="488"/>
      <c r="DA69" s="488"/>
      <c r="DB69" s="488"/>
      <c r="DC69" s="488"/>
      <c r="DD69" s="488"/>
      <c r="DE69" s="488"/>
      <c r="DF69" s="488"/>
      <c r="DG69" s="488"/>
      <c r="DH69" s="489"/>
      <c r="DI69" s="488"/>
      <c r="DJ69" s="488"/>
      <c r="DK69" s="488"/>
      <c r="DL69" s="488"/>
      <c r="DM69" s="488"/>
      <c r="DN69" s="488"/>
      <c r="DO69" s="488"/>
      <c r="DP69" s="488"/>
      <c r="DQ69" s="488"/>
      <c r="DR69" s="489"/>
      <c r="DS69" s="488"/>
      <c r="DT69" s="488"/>
      <c r="DU69" s="488"/>
      <c r="DV69" s="488"/>
      <c r="DW69" s="488"/>
      <c r="DX69" s="488"/>
      <c r="DY69" s="488"/>
      <c r="DZ69" s="488"/>
      <c r="EA69" s="488"/>
      <c r="EB69" s="489"/>
      <c r="EC69" s="488"/>
      <c r="ED69" s="488"/>
      <c r="EE69" s="488"/>
      <c r="EF69" s="488"/>
      <c r="EG69" s="488"/>
      <c r="EH69" s="488"/>
      <c r="EI69" s="488"/>
      <c r="EJ69" s="488"/>
      <c r="EK69" s="488"/>
      <c r="EL69" s="489"/>
      <c r="EM69" s="488"/>
      <c r="EN69" s="488"/>
      <c r="EO69" s="488"/>
      <c r="EP69" s="488"/>
      <c r="EQ69" s="488"/>
      <c r="ER69" s="488"/>
      <c r="ES69" s="488"/>
      <c r="ET69" s="488"/>
      <c r="EU69" s="488"/>
      <c r="EV69" s="489"/>
    </row>
    <row r="70" spans="1:152" s="496" customFormat="1" ht="13.5" customHeight="1">
      <c r="A70" s="53"/>
      <c r="B70" s="488"/>
      <c r="C70" s="488"/>
      <c r="D70" s="488"/>
      <c r="E70" s="488"/>
      <c r="F70" s="488"/>
      <c r="G70" s="488"/>
      <c r="H70" s="488"/>
      <c r="I70" s="488"/>
      <c r="J70" s="488"/>
      <c r="K70" s="488"/>
      <c r="L70" s="488"/>
      <c r="M70" s="488"/>
      <c r="N70" s="488"/>
      <c r="O70" s="488"/>
      <c r="P70" s="488"/>
      <c r="Q70" s="488"/>
      <c r="R70" s="488"/>
      <c r="S70" s="488"/>
      <c r="T70" s="488"/>
      <c r="U70" s="488"/>
      <c r="V70" s="489"/>
      <c r="W70" s="488"/>
      <c r="X70" s="488"/>
      <c r="Y70" s="488"/>
      <c r="Z70" s="488"/>
      <c r="AA70" s="488"/>
      <c r="AB70" s="488"/>
      <c r="AC70" s="488"/>
      <c r="AD70" s="488"/>
      <c r="AE70" s="488"/>
      <c r="AF70" s="489"/>
      <c r="AG70" s="488"/>
      <c r="AH70" s="488"/>
      <c r="AI70" s="488"/>
      <c r="AJ70" s="488"/>
      <c r="AK70" s="488"/>
      <c r="AL70" s="488"/>
      <c r="AM70" s="488"/>
      <c r="AN70" s="488"/>
      <c r="AO70" s="488"/>
      <c r="AP70" s="489"/>
      <c r="AQ70" s="488"/>
      <c r="AR70" s="488"/>
      <c r="AS70" s="488"/>
      <c r="AT70" s="488"/>
      <c r="AU70" s="488"/>
      <c r="AV70" s="488"/>
      <c r="AW70" s="488"/>
      <c r="AX70" s="488"/>
      <c r="AY70" s="488"/>
      <c r="AZ70" s="489"/>
      <c r="BA70" s="488"/>
      <c r="BB70" s="488"/>
      <c r="BC70" s="488"/>
      <c r="BD70" s="488"/>
      <c r="BE70" s="488"/>
      <c r="BF70" s="488"/>
      <c r="BG70" s="488"/>
      <c r="BH70" s="488"/>
      <c r="BI70" s="488"/>
      <c r="BJ70" s="489"/>
      <c r="BK70" s="488"/>
      <c r="BL70" s="488"/>
      <c r="BM70" s="488"/>
      <c r="BN70" s="488"/>
      <c r="BO70" s="488"/>
      <c r="BP70" s="488"/>
      <c r="BQ70" s="488"/>
      <c r="BR70" s="488"/>
      <c r="BS70" s="488"/>
      <c r="BT70" s="489"/>
      <c r="BU70" s="488"/>
      <c r="BV70" s="488"/>
      <c r="BW70" s="488"/>
      <c r="BX70" s="488"/>
      <c r="BY70" s="488"/>
      <c r="BZ70" s="488"/>
      <c r="CA70" s="488"/>
      <c r="CB70" s="488"/>
      <c r="CC70" s="488"/>
      <c r="CD70" s="489"/>
      <c r="CE70" s="488"/>
      <c r="CF70" s="488"/>
      <c r="CG70" s="488"/>
      <c r="CH70" s="488"/>
      <c r="CI70" s="488"/>
      <c r="CJ70" s="488"/>
      <c r="CK70" s="488"/>
      <c r="CL70" s="488"/>
      <c r="CM70" s="488"/>
      <c r="CN70" s="489"/>
      <c r="CO70" s="488"/>
      <c r="CP70" s="488"/>
      <c r="CQ70" s="488"/>
      <c r="CR70" s="488"/>
      <c r="CS70" s="488"/>
      <c r="CT70" s="488"/>
      <c r="CU70" s="488"/>
      <c r="CV70" s="488"/>
      <c r="CW70" s="488"/>
      <c r="CX70" s="489"/>
      <c r="CY70" s="488"/>
      <c r="CZ70" s="488"/>
      <c r="DA70" s="488"/>
      <c r="DB70" s="488"/>
      <c r="DC70" s="488"/>
      <c r="DD70" s="488"/>
      <c r="DE70" s="488"/>
      <c r="DF70" s="488"/>
      <c r="DG70" s="488"/>
      <c r="DH70" s="489"/>
      <c r="DI70" s="488"/>
      <c r="DJ70" s="488"/>
      <c r="DK70" s="488"/>
      <c r="DL70" s="488"/>
      <c r="DM70" s="488"/>
      <c r="DN70" s="488"/>
      <c r="DO70" s="488"/>
      <c r="DP70" s="488"/>
      <c r="DQ70" s="488"/>
      <c r="DR70" s="489"/>
      <c r="DS70" s="488"/>
      <c r="DT70" s="488"/>
      <c r="DU70" s="488"/>
      <c r="DV70" s="488"/>
      <c r="DW70" s="488"/>
      <c r="DX70" s="488"/>
      <c r="DY70" s="488"/>
      <c r="DZ70" s="488"/>
      <c r="EA70" s="488"/>
      <c r="EB70" s="489"/>
      <c r="EC70" s="488"/>
      <c r="ED70" s="488"/>
      <c r="EE70" s="488"/>
      <c r="EF70" s="488"/>
      <c r="EG70" s="488"/>
      <c r="EH70" s="488"/>
      <c r="EI70" s="488"/>
      <c r="EJ70" s="488"/>
      <c r="EK70" s="488"/>
      <c r="EL70" s="489"/>
      <c r="EM70" s="488"/>
      <c r="EN70" s="488"/>
      <c r="EO70" s="488"/>
      <c r="EP70" s="488"/>
      <c r="EQ70" s="488"/>
      <c r="ER70" s="488"/>
      <c r="ES70" s="488"/>
      <c r="ET70" s="488"/>
      <c r="EU70" s="488"/>
      <c r="EV70" s="489"/>
    </row>
    <row r="71" spans="1:152" s="496" customFormat="1" ht="13.5" customHeight="1">
      <c r="A71" s="53"/>
      <c r="B71" s="488"/>
      <c r="C71" s="488"/>
      <c r="D71" s="488"/>
      <c r="E71" s="488"/>
      <c r="F71" s="488"/>
      <c r="G71" s="488"/>
      <c r="H71" s="488"/>
      <c r="I71" s="488"/>
      <c r="J71" s="488"/>
      <c r="K71" s="488"/>
      <c r="L71" s="488"/>
      <c r="M71" s="488"/>
      <c r="N71" s="488"/>
      <c r="O71" s="488"/>
      <c r="P71" s="488"/>
      <c r="Q71" s="488"/>
      <c r="R71" s="488"/>
      <c r="S71" s="488"/>
      <c r="T71" s="488"/>
      <c r="U71" s="488"/>
      <c r="V71" s="489"/>
      <c r="W71" s="488"/>
      <c r="X71" s="488"/>
      <c r="Y71" s="488"/>
      <c r="Z71" s="488"/>
      <c r="AA71" s="488"/>
      <c r="AB71" s="488"/>
      <c r="AC71" s="488"/>
      <c r="AD71" s="488"/>
      <c r="AE71" s="488"/>
      <c r="AF71" s="489"/>
      <c r="AG71" s="488"/>
      <c r="AH71" s="488"/>
      <c r="AI71" s="488"/>
      <c r="AJ71" s="488"/>
      <c r="AK71" s="488"/>
      <c r="AL71" s="488"/>
      <c r="AM71" s="488"/>
      <c r="AN71" s="488"/>
      <c r="AO71" s="488"/>
      <c r="AP71" s="489"/>
      <c r="AQ71" s="488"/>
      <c r="AR71" s="488"/>
      <c r="AS71" s="488"/>
      <c r="AT71" s="488"/>
      <c r="AU71" s="488"/>
      <c r="AV71" s="488"/>
      <c r="AW71" s="488"/>
      <c r="AX71" s="488"/>
      <c r="AY71" s="488"/>
      <c r="AZ71" s="489"/>
      <c r="BA71" s="488"/>
      <c r="BB71" s="488"/>
      <c r="BC71" s="488"/>
      <c r="BD71" s="488"/>
      <c r="BE71" s="488"/>
      <c r="BF71" s="488"/>
      <c r="BG71" s="488"/>
      <c r="BH71" s="488"/>
      <c r="BI71" s="488"/>
      <c r="BJ71" s="489"/>
      <c r="BK71" s="488"/>
      <c r="BL71" s="488"/>
      <c r="BM71" s="488"/>
      <c r="BN71" s="488"/>
      <c r="BO71" s="488"/>
      <c r="BP71" s="488"/>
      <c r="BQ71" s="488"/>
      <c r="BR71" s="488"/>
      <c r="BS71" s="488"/>
      <c r="BT71" s="489"/>
      <c r="BU71" s="488"/>
      <c r="BV71" s="488"/>
      <c r="BW71" s="488"/>
      <c r="BX71" s="488"/>
      <c r="BY71" s="488"/>
      <c r="BZ71" s="488"/>
      <c r="CA71" s="488"/>
      <c r="CB71" s="488"/>
      <c r="CC71" s="488"/>
      <c r="CD71" s="489"/>
      <c r="CE71" s="488"/>
      <c r="CF71" s="488"/>
      <c r="CG71" s="488"/>
      <c r="CH71" s="488"/>
      <c r="CI71" s="488"/>
      <c r="CJ71" s="488"/>
      <c r="CK71" s="488"/>
      <c r="CL71" s="488"/>
      <c r="CM71" s="488"/>
      <c r="CN71" s="489"/>
      <c r="CO71" s="488"/>
      <c r="CP71" s="488"/>
      <c r="CQ71" s="488"/>
      <c r="CR71" s="488"/>
      <c r="CS71" s="488"/>
      <c r="CT71" s="488"/>
      <c r="CU71" s="488"/>
      <c r="CV71" s="488"/>
      <c r="CW71" s="488"/>
      <c r="CX71" s="489"/>
      <c r="CY71" s="488"/>
      <c r="CZ71" s="488"/>
      <c r="DA71" s="488"/>
      <c r="DB71" s="488"/>
      <c r="DC71" s="488"/>
      <c r="DD71" s="488"/>
      <c r="DE71" s="488"/>
      <c r="DF71" s="488"/>
      <c r="DG71" s="488"/>
      <c r="DH71" s="489"/>
      <c r="DI71" s="488"/>
      <c r="DJ71" s="488"/>
      <c r="DK71" s="488"/>
      <c r="DL71" s="488"/>
      <c r="DM71" s="488"/>
      <c r="DN71" s="488"/>
      <c r="DO71" s="488"/>
      <c r="DP71" s="488"/>
      <c r="DQ71" s="488"/>
      <c r="DR71" s="489"/>
      <c r="DS71" s="488"/>
      <c r="DT71" s="488"/>
      <c r="DU71" s="488"/>
      <c r="DV71" s="488"/>
      <c r="DW71" s="488"/>
      <c r="DX71" s="488"/>
      <c r="DY71" s="488"/>
      <c r="DZ71" s="488"/>
      <c r="EA71" s="488"/>
      <c r="EB71" s="489"/>
      <c r="EC71" s="488"/>
      <c r="ED71" s="488"/>
      <c r="EE71" s="488"/>
      <c r="EF71" s="488"/>
      <c r="EG71" s="488"/>
      <c r="EH71" s="488"/>
      <c r="EI71" s="488"/>
      <c r="EJ71" s="488"/>
      <c r="EK71" s="488"/>
      <c r="EL71" s="489"/>
      <c r="EM71" s="488"/>
      <c r="EN71" s="488"/>
      <c r="EO71" s="488"/>
      <c r="EP71" s="488"/>
      <c r="EQ71" s="488"/>
      <c r="ER71" s="488"/>
      <c r="ES71" s="488"/>
      <c r="ET71" s="488"/>
      <c r="EU71" s="488"/>
      <c r="EV71" s="489"/>
    </row>
    <row r="72" spans="1:152" s="496" customFormat="1" ht="13.5" customHeight="1">
      <c r="A72" s="53"/>
      <c r="B72" s="488"/>
      <c r="C72" s="488"/>
      <c r="D72" s="488"/>
      <c r="E72" s="488"/>
      <c r="F72" s="488"/>
      <c r="G72" s="488"/>
      <c r="H72" s="488"/>
      <c r="I72" s="488"/>
      <c r="J72" s="488"/>
      <c r="K72" s="488"/>
      <c r="L72" s="488"/>
      <c r="M72" s="488"/>
      <c r="N72" s="488"/>
      <c r="O72" s="488"/>
      <c r="P72" s="488"/>
      <c r="Q72" s="488"/>
      <c r="R72" s="488"/>
      <c r="S72" s="488"/>
      <c r="T72" s="488"/>
      <c r="U72" s="488"/>
      <c r="V72" s="489"/>
      <c r="W72" s="488"/>
      <c r="X72" s="488"/>
      <c r="Y72" s="488"/>
      <c r="Z72" s="488"/>
      <c r="AA72" s="488"/>
      <c r="AB72" s="488"/>
      <c r="AC72" s="488"/>
      <c r="AD72" s="488"/>
      <c r="AE72" s="488"/>
      <c r="AF72" s="489"/>
      <c r="AG72" s="488"/>
      <c r="AH72" s="488"/>
      <c r="AI72" s="488"/>
      <c r="AJ72" s="488"/>
      <c r="AK72" s="488"/>
      <c r="AL72" s="488"/>
      <c r="AM72" s="488"/>
      <c r="AN72" s="488"/>
      <c r="AO72" s="488"/>
      <c r="AP72" s="489"/>
      <c r="AQ72" s="488"/>
      <c r="AR72" s="488"/>
      <c r="AS72" s="488"/>
      <c r="AT72" s="488"/>
      <c r="AU72" s="488"/>
      <c r="AV72" s="488"/>
      <c r="AW72" s="488"/>
      <c r="AX72" s="488"/>
      <c r="AY72" s="488"/>
      <c r="AZ72" s="489"/>
      <c r="BA72" s="488"/>
      <c r="BB72" s="488"/>
      <c r="BC72" s="488"/>
      <c r="BD72" s="488"/>
      <c r="BE72" s="488"/>
      <c r="BF72" s="488"/>
      <c r="BG72" s="488"/>
      <c r="BH72" s="488"/>
      <c r="BI72" s="488"/>
      <c r="BJ72" s="489"/>
      <c r="BK72" s="488"/>
      <c r="BL72" s="488"/>
      <c r="BM72" s="488"/>
      <c r="BN72" s="488"/>
      <c r="BO72" s="488"/>
      <c r="BP72" s="488"/>
      <c r="BQ72" s="488"/>
      <c r="BR72" s="488"/>
      <c r="BS72" s="488"/>
      <c r="BT72" s="489"/>
      <c r="BU72" s="488"/>
      <c r="BV72" s="488"/>
      <c r="BW72" s="488"/>
      <c r="BX72" s="488"/>
      <c r="BY72" s="488"/>
      <c r="BZ72" s="488"/>
      <c r="CA72" s="488"/>
      <c r="CB72" s="488"/>
      <c r="CC72" s="488"/>
      <c r="CD72" s="489"/>
      <c r="CE72" s="488"/>
      <c r="CF72" s="488"/>
      <c r="CG72" s="488"/>
      <c r="CH72" s="488"/>
      <c r="CI72" s="488"/>
      <c r="CJ72" s="488"/>
      <c r="CK72" s="488"/>
      <c r="CL72" s="488"/>
      <c r="CM72" s="488"/>
      <c r="CN72" s="489"/>
      <c r="CO72" s="488"/>
      <c r="CP72" s="488"/>
      <c r="CQ72" s="488"/>
      <c r="CR72" s="488"/>
      <c r="CS72" s="488"/>
      <c r="CT72" s="488"/>
      <c r="CU72" s="488"/>
      <c r="CV72" s="488"/>
      <c r="CW72" s="488"/>
      <c r="CX72" s="489"/>
      <c r="CY72" s="488"/>
      <c r="CZ72" s="488"/>
      <c r="DA72" s="488"/>
      <c r="DB72" s="488"/>
      <c r="DC72" s="488"/>
      <c r="DD72" s="488"/>
      <c r="DE72" s="488"/>
      <c r="DF72" s="488"/>
      <c r="DG72" s="488"/>
      <c r="DH72" s="489"/>
      <c r="DI72" s="488"/>
      <c r="DJ72" s="488"/>
      <c r="DK72" s="488"/>
      <c r="DL72" s="488"/>
      <c r="DM72" s="488"/>
      <c r="DN72" s="488"/>
      <c r="DO72" s="488"/>
      <c r="DP72" s="488"/>
      <c r="DQ72" s="488"/>
      <c r="DR72" s="489"/>
      <c r="DS72" s="488"/>
      <c r="DT72" s="488"/>
      <c r="DU72" s="488"/>
      <c r="DV72" s="488"/>
      <c r="DW72" s="488"/>
      <c r="DX72" s="488"/>
      <c r="DY72" s="488"/>
      <c r="DZ72" s="488"/>
      <c r="EA72" s="488"/>
      <c r="EB72" s="489"/>
      <c r="EC72" s="488"/>
      <c r="ED72" s="488"/>
      <c r="EE72" s="488"/>
      <c r="EF72" s="488"/>
      <c r="EG72" s="488"/>
      <c r="EH72" s="488"/>
      <c r="EI72" s="488"/>
      <c r="EJ72" s="488"/>
      <c r="EK72" s="488"/>
      <c r="EL72" s="489"/>
      <c r="EM72" s="488"/>
      <c r="EN72" s="488"/>
      <c r="EO72" s="488"/>
      <c r="EP72" s="488"/>
      <c r="EQ72" s="488"/>
      <c r="ER72" s="488"/>
      <c r="ES72" s="488"/>
      <c r="ET72" s="488"/>
      <c r="EU72" s="488"/>
      <c r="EV72" s="489"/>
    </row>
    <row r="73" spans="1:152" s="496" customFormat="1" ht="13.5" customHeight="1">
      <c r="A73" s="53"/>
      <c r="B73" s="488"/>
      <c r="C73" s="488"/>
      <c r="D73" s="488"/>
      <c r="E73" s="488"/>
      <c r="F73" s="488"/>
      <c r="G73" s="488"/>
      <c r="H73" s="488"/>
      <c r="I73" s="488"/>
      <c r="J73" s="488"/>
      <c r="K73" s="488"/>
      <c r="L73" s="488"/>
      <c r="M73" s="488"/>
      <c r="N73" s="488"/>
      <c r="O73" s="488"/>
      <c r="P73" s="488"/>
      <c r="Q73" s="488"/>
      <c r="R73" s="488"/>
      <c r="S73" s="488"/>
      <c r="T73" s="488"/>
      <c r="U73" s="488"/>
      <c r="V73" s="489"/>
      <c r="W73" s="488"/>
      <c r="X73" s="488"/>
      <c r="Y73" s="488"/>
      <c r="Z73" s="488"/>
      <c r="AA73" s="488"/>
      <c r="AB73" s="488"/>
      <c r="AC73" s="488"/>
      <c r="AD73" s="488"/>
      <c r="AE73" s="488"/>
      <c r="AF73" s="489"/>
      <c r="AG73" s="488"/>
      <c r="AH73" s="488"/>
      <c r="AI73" s="488"/>
      <c r="AJ73" s="488"/>
      <c r="AK73" s="488"/>
      <c r="AL73" s="488"/>
      <c r="AM73" s="488"/>
      <c r="AN73" s="488"/>
      <c r="AO73" s="488"/>
      <c r="AP73" s="489"/>
      <c r="AQ73" s="488"/>
      <c r="AR73" s="488"/>
      <c r="AS73" s="488"/>
      <c r="AT73" s="488"/>
      <c r="AU73" s="488"/>
      <c r="AV73" s="488"/>
      <c r="AW73" s="488"/>
      <c r="AX73" s="488"/>
      <c r="AY73" s="488"/>
      <c r="AZ73" s="489"/>
      <c r="BA73" s="488"/>
      <c r="BB73" s="488"/>
      <c r="BC73" s="488"/>
      <c r="BD73" s="488"/>
      <c r="BE73" s="488"/>
      <c r="BF73" s="488"/>
      <c r="BG73" s="488"/>
      <c r="BH73" s="488"/>
      <c r="BI73" s="488"/>
      <c r="BJ73" s="489"/>
      <c r="BK73" s="488"/>
      <c r="BL73" s="488"/>
      <c r="BM73" s="488"/>
      <c r="BN73" s="488"/>
      <c r="BO73" s="488"/>
      <c r="BP73" s="488"/>
      <c r="BQ73" s="488"/>
      <c r="BR73" s="488"/>
      <c r="BS73" s="488"/>
      <c r="BT73" s="489"/>
      <c r="BU73" s="488"/>
      <c r="BV73" s="488"/>
      <c r="BW73" s="488"/>
      <c r="BX73" s="488"/>
      <c r="BY73" s="488"/>
      <c r="BZ73" s="488"/>
      <c r="CA73" s="488"/>
      <c r="CB73" s="488"/>
      <c r="CC73" s="488"/>
      <c r="CD73" s="489"/>
      <c r="CE73" s="488"/>
      <c r="CF73" s="488"/>
      <c r="CG73" s="488"/>
      <c r="CH73" s="488"/>
      <c r="CI73" s="488"/>
      <c r="CJ73" s="488"/>
      <c r="CK73" s="488"/>
      <c r="CL73" s="488"/>
      <c r="CM73" s="488"/>
      <c r="CN73" s="489"/>
      <c r="CO73" s="488"/>
      <c r="CP73" s="488"/>
      <c r="CQ73" s="488"/>
      <c r="CR73" s="488"/>
      <c r="CS73" s="488"/>
      <c r="CT73" s="488"/>
      <c r="CU73" s="488"/>
      <c r="CV73" s="488"/>
      <c r="CW73" s="488"/>
      <c r="CX73" s="489"/>
      <c r="CY73" s="488"/>
      <c r="CZ73" s="488"/>
      <c r="DA73" s="488"/>
      <c r="DB73" s="488"/>
      <c r="DC73" s="488"/>
      <c r="DD73" s="488"/>
      <c r="DE73" s="488"/>
      <c r="DF73" s="488"/>
      <c r="DG73" s="488"/>
      <c r="DH73" s="489"/>
      <c r="DI73" s="488"/>
      <c r="DJ73" s="488"/>
      <c r="DK73" s="488"/>
      <c r="DL73" s="488"/>
      <c r="DM73" s="488"/>
      <c r="DN73" s="488"/>
      <c r="DO73" s="488"/>
      <c r="DP73" s="488"/>
      <c r="DQ73" s="488"/>
      <c r="DR73" s="489"/>
      <c r="DS73" s="488"/>
      <c r="DT73" s="488"/>
      <c r="DU73" s="488"/>
      <c r="DV73" s="488"/>
      <c r="DW73" s="488"/>
      <c r="DX73" s="488"/>
      <c r="DY73" s="488"/>
      <c r="DZ73" s="488"/>
      <c r="EA73" s="488"/>
      <c r="EB73" s="489"/>
      <c r="EC73" s="488"/>
      <c r="ED73" s="488"/>
      <c r="EE73" s="488"/>
      <c r="EF73" s="488"/>
      <c r="EG73" s="488"/>
      <c r="EH73" s="488"/>
      <c r="EI73" s="488"/>
      <c r="EJ73" s="488"/>
      <c r="EK73" s="488"/>
      <c r="EL73" s="489"/>
      <c r="EM73" s="488"/>
      <c r="EN73" s="488"/>
      <c r="EO73" s="488"/>
      <c r="EP73" s="488"/>
      <c r="EQ73" s="488"/>
      <c r="ER73" s="488"/>
      <c r="ES73" s="488"/>
      <c r="ET73" s="488"/>
      <c r="EU73" s="488"/>
      <c r="EV73" s="489"/>
    </row>
    <row r="74" spans="1:152" s="496" customFormat="1" ht="13.5" customHeight="1">
      <c r="A74" s="53"/>
      <c r="B74" s="488"/>
      <c r="C74" s="488"/>
      <c r="D74" s="488"/>
      <c r="E74" s="488"/>
      <c r="F74" s="488"/>
      <c r="G74" s="488"/>
      <c r="H74" s="488"/>
      <c r="I74" s="488"/>
      <c r="J74" s="488"/>
      <c r="K74" s="488"/>
      <c r="L74" s="488"/>
      <c r="M74" s="488"/>
      <c r="N74" s="488"/>
      <c r="O74" s="488"/>
      <c r="P74" s="488"/>
      <c r="Q74" s="488"/>
      <c r="R74" s="488"/>
      <c r="S74" s="488"/>
      <c r="T74" s="488"/>
      <c r="U74" s="488"/>
      <c r="V74" s="489"/>
      <c r="W74" s="488"/>
      <c r="X74" s="488"/>
      <c r="Y74" s="488"/>
      <c r="Z74" s="488"/>
      <c r="AA74" s="488"/>
      <c r="AB74" s="488"/>
      <c r="AC74" s="488"/>
      <c r="AD74" s="488"/>
      <c r="AE74" s="488"/>
      <c r="AF74" s="489"/>
      <c r="AG74" s="488"/>
      <c r="AH74" s="488"/>
      <c r="AI74" s="488"/>
      <c r="AJ74" s="488"/>
      <c r="AK74" s="488"/>
      <c r="AL74" s="488"/>
      <c r="AM74" s="488"/>
      <c r="AN74" s="488"/>
      <c r="AO74" s="488"/>
      <c r="AP74" s="489"/>
      <c r="AQ74" s="488"/>
      <c r="AR74" s="488"/>
      <c r="AS74" s="488"/>
      <c r="AT74" s="488"/>
      <c r="AU74" s="488"/>
      <c r="AV74" s="488"/>
      <c r="AW74" s="488"/>
      <c r="AX74" s="488"/>
      <c r="AY74" s="488"/>
      <c r="AZ74" s="489"/>
      <c r="BA74" s="488"/>
      <c r="BB74" s="488"/>
      <c r="BC74" s="488"/>
      <c r="BD74" s="488"/>
      <c r="BE74" s="488"/>
      <c r="BF74" s="488"/>
      <c r="BG74" s="488"/>
      <c r="BH74" s="488"/>
      <c r="BI74" s="488"/>
      <c r="BJ74" s="489"/>
      <c r="BK74" s="488"/>
      <c r="BL74" s="488"/>
      <c r="BM74" s="488"/>
      <c r="BN74" s="488"/>
      <c r="BO74" s="488"/>
      <c r="BP74" s="488"/>
      <c r="BQ74" s="488"/>
      <c r="BR74" s="488"/>
      <c r="BS74" s="488"/>
      <c r="BT74" s="489"/>
      <c r="BU74" s="488"/>
      <c r="BV74" s="488"/>
      <c r="BW74" s="488"/>
      <c r="BX74" s="488"/>
      <c r="BY74" s="488"/>
      <c r="BZ74" s="488"/>
      <c r="CA74" s="488"/>
      <c r="CB74" s="488"/>
      <c r="CC74" s="488"/>
      <c r="CD74" s="489"/>
      <c r="CE74" s="488"/>
      <c r="CF74" s="488"/>
      <c r="CG74" s="488"/>
      <c r="CH74" s="488"/>
      <c r="CI74" s="488"/>
      <c r="CJ74" s="488"/>
      <c r="CK74" s="488"/>
      <c r="CL74" s="488"/>
      <c r="CM74" s="488"/>
      <c r="CN74" s="489"/>
      <c r="CO74" s="488"/>
      <c r="CP74" s="488"/>
      <c r="CQ74" s="488"/>
      <c r="CR74" s="488"/>
      <c r="CS74" s="488"/>
      <c r="CT74" s="488"/>
      <c r="CU74" s="488"/>
      <c r="CV74" s="488"/>
      <c r="CW74" s="488"/>
      <c r="CX74" s="489"/>
      <c r="CY74" s="488"/>
      <c r="CZ74" s="488"/>
      <c r="DA74" s="488"/>
      <c r="DB74" s="488"/>
      <c r="DC74" s="488"/>
      <c r="DD74" s="488"/>
      <c r="DE74" s="488"/>
      <c r="DF74" s="488"/>
      <c r="DG74" s="488"/>
      <c r="DH74" s="489"/>
      <c r="DI74" s="488"/>
      <c r="DJ74" s="488"/>
      <c r="DK74" s="488"/>
      <c r="DL74" s="488"/>
      <c r="DM74" s="488"/>
      <c r="DN74" s="488"/>
      <c r="DO74" s="488"/>
      <c r="DP74" s="488"/>
      <c r="DQ74" s="488"/>
      <c r="DR74" s="489"/>
      <c r="DS74" s="488"/>
      <c r="DT74" s="488"/>
      <c r="DU74" s="488"/>
      <c r="DV74" s="488"/>
      <c r="DW74" s="488"/>
      <c r="DX74" s="488"/>
      <c r="DY74" s="488"/>
      <c r="DZ74" s="488"/>
      <c r="EA74" s="488"/>
      <c r="EB74" s="489"/>
      <c r="EC74" s="488"/>
      <c r="ED74" s="488"/>
      <c r="EE74" s="488"/>
      <c r="EF74" s="488"/>
      <c r="EG74" s="488"/>
      <c r="EH74" s="488"/>
      <c r="EI74" s="488"/>
      <c r="EJ74" s="488"/>
      <c r="EK74" s="488"/>
      <c r="EL74" s="489"/>
      <c r="EM74" s="488"/>
      <c r="EN74" s="488"/>
      <c r="EO74" s="488"/>
      <c r="EP74" s="488"/>
      <c r="EQ74" s="488"/>
      <c r="ER74" s="488"/>
      <c r="ES74" s="488"/>
      <c r="ET74" s="488"/>
      <c r="EU74" s="488"/>
      <c r="EV74" s="489"/>
    </row>
    <row r="75" spans="1:152" s="496" customFormat="1" ht="13.5" customHeight="1">
      <c r="A75" s="53"/>
      <c r="B75" s="488"/>
      <c r="C75" s="488"/>
      <c r="D75" s="488"/>
      <c r="E75" s="488"/>
      <c r="F75" s="488"/>
      <c r="G75" s="488"/>
      <c r="H75" s="488"/>
      <c r="I75" s="488"/>
      <c r="J75" s="488"/>
      <c r="K75" s="488"/>
      <c r="L75" s="488"/>
      <c r="M75" s="488"/>
      <c r="N75" s="488"/>
      <c r="O75" s="488"/>
      <c r="P75" s="488"/>
      <c r="Q75" s="488"/>
      <c r="R75" s="488"/>
      <c r="S75" s="488"/>
      <c r="T75" s="488"/>
      <c r="U75" s="488"/>
      <c r="V75" s="489"/>
      <c r="W75" s="488"/>
      <c r="X75" s="488"/>
      <c r="Y75" s="488"/>
      <c r="Z75" s="488"/>
      <c r="AA75" s="488"/>
      <c r="AB75" s="488"/>
      <c r="AC75" s="488"/>
      <c r="AD75" s="488"/>
      <c r="AE75" s="488"/>
      <c r="AF75" s="489"/>
      <c r="AG75" s="488"/>
      <c r="AH75" s="488"/>
      <c r="AI75" s="488"/>
      <c r="AJ75" s="488"/>
      <c r="AK75" s="488"/>
      <c r="AL75" s="488"/>
      <c r="AM75" s="488"/>
      <c r="AN75" s="488"/>
      <c r="AO75" s="488"/>
      <c r="AP75" s="489"/>
      <c r="AQ75" s="488"/>
      <c r="AR75" s="488"/>
      <c r="AS75" s="488"/>
      <c r="AT75" s="488"/>
      <c r="AU75" s="488"/>
      <c r="AV75" s="488"/>
      <c r="AW75" s="488"/>
      <c r="AX75" s="488"/>
      <c r="AY75" s="488"/>
      <c r="AZ75" s="489"/>
      <c r="BA75" s="488"/>
      <c r="BB75" s="488"/>
      <c r="BC75" s="488"/>
      <c r="BD75" s="488"/>
      <c r="BE75" s="488"/>
      <c r="BF75" s="488"/>
      <c r="BG75" s="488"/>
      <c r="BH75" s="488"/>
      <c r="BI75" s="488"/>
      <c r="BJ75" s="489"/>
      <c r="BK75" s="488"/>
      <c r="BL75" s="488"/>
      <c r="BM75" s="488"/>
      <c r="BN75" s="488"/>
      <c r="BO75" s="488"/>
      <c r="BP75" s="488"/>
      <c r="BQ75" s="488"/>
      <c r="BR75" s="488"/>
      <c r="BS75" s="488"/>
      <c r="BT75" s="489"/>
      <c r="BU75" s="488"/>
      <c r="BV75" s="488"/>
      <c r="BW75" s="488"/>
      <c r="BX75" s="488"/>
      <c r="BY75" s="488"/>
      <c r="BZ75" s="488"/>
      <c r="CA75" s="488"/>
      <c r="CB75" s="488"/>
      <c r="CC75" s="488"/>
      <c r="CD75" s="489"/>
      <c r="CE75" s="488"/>
      <c r="CF75" s="488"/>
      <c r="CG75" s="488"/>
      <c r="CH75" s="488"/>
      <c r="CI75" s="488"/>
      <c r="CJ75" s="488"/>
      <c r="CK75" s="488"/>
      <c r="CL75" s="488"/>
      <c r="CM75" s="488"/>
      <c r="CN75" s="489"/>
      <c r="CO75" s="488"/>
      <c r="CP75" s="488"/>
      <c r="CQ75" s="488"/>
      <c r="CR75" s="488"/>
      <c r="CS75" s="488"/>
      <c r="CT75" s="488"/>
      <c r="CU75" s="488"/>
      <c r="CV75" s="488"/>
      <c r="CW75" s="488"/>
      <c r="CX75" s="489"/>
      <c r="CY75" s="488"/>
      <c r="CZ75" s="488"/>
      <c r="DA75" s="488"/>
      <c r="DB75" s="488"/>
      <c r="DC75" s="488"/>
      <c r="DD75" s="488"/>
      <c r="DE75" s="488"/>
      <c r="DF75" s="488"/>
      <c r="DG75" s="488"/>
      <c r="DH75" s="489"/>
      <c r="DI75" s="488"/>
      <c r="DJ75" s="488"/>
      <c r="DK75" s="488"/>
      <c r="DL75" s="488"/>
      <c r="DM75" s="488"/>
      <c r="DN75" s="488"/>
      <c r="DO75" s="488"/>
      <c r="DP75" s="488"/>
      <c r="DQ75" s="488"/>
      <c r="DR75" s="489"/>
      <c r="DS75" s="488"/>
      <c r="DT75" s="488"/>
      <c r="DU75" s="488"/>
      <c r="DV75" s="488"/>
      <c r="DW75" s="488"/>
      <c r="DX75" s="488"/>
      <c r="DY75" s="488"/>
      <c r="DZ75" s="488"/>
      <c r="EA75" s="488"/>
      <c r="EB75" s="489"/>
      <c r="EC75" s="488"/>
      <c r="ED75" s="488"/>
      <c r="EE75" s="488"/>
      <c r="EF75" s="488"/>
      <c r="EG75" s="488"/>
      <c r="EH75" s="488"/>
      <c r="EI75" s="488"/>
      <c r="EJ75" s="488"/>
      <c r="EK75" s="488"/>
      <c r="EL75" s="489"/>
      <c r="EM75" s="488"/>
      <c r="EN75" s="488"/>
      <c r="EO75" s="488"/>
      <c r="EP75" s="488"/>
      <c r="EQ75" s="488"/>
      <c r="ER75" s="488"/>
      <c r="ES75" s="488"/>
      <c r="ET75" s="488"/>
      <c r="EU75" s="488"/>
      <c r="EV75" s="489"/>
    </row>
    <row r="76" spans="1:152" s="496" customFormat="1" ht="13.5" customHeight="1">
      <c r="A76" s="53"/>
      <c r="B76" s="489"/>
      <c r="C76" s="489"/>
      <c r="D76" s="489"/>
      <c r="E76" s="489"/>
      <c r="F76" s="489"/>
      <c r="G76" s="489"/>
      <c r="H76" s="489"/>
      <c r="I76" s="489"/>
      <c r="J76" s="489"/>
      <c r="K76" s="489"/>
      <c r="L76" s="489"/>
      <c r="M76" s="489"/>
      <c r="N76" s="489"/>
      <c r="O76" s="489"/>
      <c r="P76" s="489"/>
      <c r="Q76" s="489"/>
      <c r="R76" s="489"/>
      <c r="S76" s="489"/>
      <c r="T76" s="489"/>
      <c r="U76" s="489"/>
      <c r="V76" s="489"/>
      <c r="W76" s="488"/>
      <c r="X76" s="488"/>
      <c r="Y76" s="488"/>
      <c r="Z76" s="488"/>
      <c r="AA76" s="488"/>
      <c r="AB76" s="488"/>
      <c r="AC76" s="488"/>
      <c r="AD76" s="488"/>
      <c r="AE76" s="488"/>
      <c r="AF76" s="489"/>
      <c r="AG76" s="488"/>
      <c r="AH76" s="488"/>
      <c r="AI76" s="488"/>
      <c r="AJ76" s="488"/>
      <c r="AK76" s="488"/>
      <c r="AL76" s="488"/>
      <c r="AM76" s="488"/>
      <c r="AN76" s="488"/>
      <c r="AO76" s="488"/>
      <c r="AP76" s="489"/>
      <c r="AQ76" s="488"/>
      <c r="AR76" s="488"/>
      <c r="AS76" s="488"/>
      <c r="AT76" s="488"/>
      <c r="AU76" s="488"/>
      <c r="AV76" s="488"/>
      <c r="AW76" s="488"/>
      <c r="AX76" s="488"/>
      <c r="AY76" s="488"/>
      <c r="AZ76" s="489"/>
      <c r="BA76" s="488"/>
      <c r="BB76" s="488"/>
      <c r="BC76" s="488"/>
      <c r="BD76" s="488"/>
      <c r="BE76" s="488"/>
      <c r="BF76" s="488"/>
      <c r="BG76" s="488"/>
      <c r="BH76" s="488"/>
      <c r="BI76" s="488"/>
      <c r="BJ76" s="489"/>
      <c r="BK76" s="488"/>
      <c r="BL76" s="488"/>
      <c r="BM76" s="488"/>
      <c r="BN76" s="488"/>
      <c r="BO76" s="488"/>
      <c r="BP76" s="488"/>
      <c r="BQ76" s="488"/>
      <c r="BR76" s="488"/>
      <c r="BS76" s="488"/>
      <c r="BT76" s="489"/>
      <c r="BU76" s="488"/>
      <c r="BV76" s="488"/>
      <c r="BW76" s="488"/>
      <c r="BX76" s="488"/>
      <c r="BY76" s="488"/>
      <c r="BZ76" s="488"/>
      <c r="CA76" s="488"/>
      <c r="CB76" s="488"/>
      <c r="CC76" s="488"/>
      <c r="CD76" s="489"/>
      <c r="CE76" s="488"/>
      <c r="CF76" s="488"/>
      <c r="CG76" s="488"/>
      <c r="CH76" s="488"/>
      <c r="CI76" s="488"/>
      <c r="CJ76" s="488"/>
      <c r="CK76" s="488"/>
      <c r="CL76" s="488"/>
      <c r="CM76" s="488"/>
      <c r="CN76" s="489"/>
      <c r="CO76" s="488"/>
      <c r="CP76" s="488"/>
      <c r="CQ76" s="488"/>
      <c r="CR76" s="488"/>
      <c r="CS76" s="488"/>
      <c r="CT76" s="488"/>
      <c r="CU76" s="488"/>
      <c r="CV76" s="488"/>
      <c r="CW76" s="488"/>
      <c r="CX76" s="489"/>
      <c r="CY76" s="488"/>
      <c r="CZ76" s="488"/>
      <c r="DA76" s="488"/>
      <c r="DB76" s="488"/>
      <c r="DC76" s="488"/>
      <c r="DD76" s="488"/>
      <c r="DE76" s="488"/>
      <c r="DF76" s="488"/>
      <c r="DG76" s="488"/>
      <c r="DH76" s="489"/>
      <c r="DI76" s="488"/>
      <c r="DJ76" s="488"/>
      <c r="DK76" s="488"/>
      <c r="DL76" s="488"/>
      <c r="DM76" s="488"/>
      <c r="DN76" s="488"/>
      <c r="DO76" s="488"/>
      <c r="DP76" s="488"/>
      <c r="DQ76" s="488"/>
      <c r="DR76" s="489"/>
      <c r="DS76" s="488"/>
      <c r="DT76" s="488"/>
      <c r="DU76" s="488"/>
      <c r="DV76" s="488"/>
      <c r="DW76" s="488"/>
      <c r="DX76" s="488"/>
      <c r="DY76" s="488"/>
      <c r="DZ76" s="488"/>
      <c r="EA76" s="488"/>
      <c r="EB76" s="489"/>
      <c r="EC76" s="488"/>
      <c r="ED76" s="488"/>
      <c r="EE76" s="488"/>
      <c r="EF76" s="488"/>
      <c r="EG76" s="488"/>
      <c r="EH76" s="488"/>
      <c r="EI76" s="488"/>
      <c r="EJ76" s="488"/>
      <c r="EK76" s="488"/>
      <c r="EL76" s="489"/>
      <c r="EM76" s="488"/>
      <c r="EN76" s="488"/>
      <c r="EO76" s="488"/>
      <c r="EP76" s="488"/>
      <c r="EQ76" s="488"/>
      <c r="ER76" s="488"/>
      <c r="ES76" s="488"/>
      <c r="ET76" s="488"/>
      <c r="EU76" s="488"/>
      <c r="EV76" s="489"/>
    </row>
    <row r="77" spans="1:152" s="496" customFormat="1" ht="13.5" customHeight="1">
      <c r="A77" s="53"/>
      <c r="B77" s="489"/>
      <c r="C77" s="489"/>
      <c r="D77" s="489"/>
      <c r="E77" s="489"/>
      <c r="F77" s="489"/>
      <c r="G77" s="489"/>
      <c r="H77" s="489"/>
      <c r="I77" s="489"/>
      <c r="J77" s="489"/>
      <c r="K77" s="489"/>
      <c r="L77" s="489"/>
      <c r="M77" s="489"/>
      <c r="N77" s="489"/>
      <c r="O77" s="489"/>
      <c r="P77" s="489"/>
      <c r="Q77" s="489"/>
      <c r="R77" s="489"/>
      <c r="S77" s="489"/>
      <c r="T77" s="489"/>
      <c r="U77" s="489"/>
      <c r="V77" s="489"/>
      <c r="W77" s="488"/>
      <c r="X77" s="488"/>
      <c r="Y77" s="488"/>
      <c r="Z77" s="488"/>
      <c r="AA77" s="488"/>
      <c r="AB77" s="488"/>
      <c r="AC77" s="488"/>
      <c r="AD77" s="488"/>
      <c r="AE77" s="488"/>
      <c r="AF77" s="489"/>
      <c r="AG77" s="488"/>
      <c r="AH77" s="488"/>
      <c r="AI77" s="488"/>
      <c r="AJ77" s="488"/>
      <c r="AK77" s="488"/>
      <c r="AL77" s="488"/>
      <c r="AM77" s="488"/>
      <c r="AN77" s="488"/>
      <c r="AO77" s="488"/>
      <c r="AP77" s="489"/>
      <c r="AQ77" s="488"/>
      <c r="AR77" s="488"/>
      <c r="AS77" s="488"/>
      <c r="AT77" s="488"/>
      <c r="AU77" s="488"/>
      <c r="AV77" s="488"/>
      <c r="AW77" s="488"/>
      <c r="AX77" s="488"/>
      <c r="AY77" s="488"/>
      <c r="AZ77" s="489"/>
      <c r="BA77" s="488"/>
      <c r="BB77" s="488"/>
      <c r="BC77" s="488"/>
      <c r="BD77" s="488"/>
      <c r="BE77" s="488"/>
      <c r="BF77" s="488"/>
      <c r="BG77" s="488"/>
      <c r="BH77" s="488"/>
      <c r="BI77" s="488"/>
      <c r="BJ77" s="489"/>
      <c r="BK77" s="488"/>
      <c r="BL77" s="488"/>
      <c r="BM77" s="488"/>
      <c r="BN77" s="488"/>
      <c r="BO77" s="488"/>
      <c r="BP77" s="488"/>
      <c r="BQ77" s="488"/>
      <c r="BR77" s="488"/>
      <c r="BS77" s="488"/>
      <c r="BT77" s="489"/>
      <c r="BU77" s="488"/>
      <c r="BV77" s="488"/>
      <c r="BW77" s="488"/>
      <c r="BX77" s="488"/>
      <c r="BY77" s="488"/>
      <c r="BZ77" s="488"/>
      <c r="CA77" s="488"/>
      <c r="CB77" s="488"/>
      <c r="CC77" s="488"/>
      <c r="CD77" s="489"/>
      <c r="CE77" s="488"/>
      <c r="CF77" s="488"/>
      <c r="CG77" s="488"/>
      <c r="CH77" s="488"/>
      <c r="CI77" s="488"/>
      <c r="CJ77" s="488"/>
      <c r="CK77" s="488"/>
      <c r="CL77" s="488"/>
      <c r="CM77" s="488"/>
      <c r="CN77" s="489"/>
      <c r="CO77" s="488"/>
      <c r="CP77" s="488"/>
      <c r="CQ77" s="488"/>
      <c r="CR77" s="488"/>
      <c r="CS77" s="488"/>
      <c r="CT77" s="488"/>
      <c r="CU77" s="488"/>
      <c r="CV77" s="488"/>
      <c r="CW77" s="488"/>
      <c r="CX77" s="489"/>
      <c r="CY77" s="488"/>
      <c r="CZ77" s="488"/>
      <c r="DA77" s="488"/>
      <c r="DB77" s="488"/>
      <c r="DC77" s="488"/>
      <c r="DD77" s="488"/>
      <c r="DE77" s="488"/>
      <c r="DF77" s="488"/>
      <c r="DG77" s="488"/>
      <c r="DH77" s="489"/>
      <c r="DI77" s="488"/>
      <c r="DJ77" s="488"/>
      <c r="DK77" s="488"/>
      <c r="DL77" s="488"/>
      <c r="DM77" s="488"/>
      <c r="DN77" s="488"/>
      <c r="DO77" s="488"/>
      <c r="DP77" s="488"/>
      <c r="DQ77" s="488"/>
      <c r="DR77" s="489"/>
      <c r="DS77" s="488"/>
      <c r="DT77" s="488"/>
      <c r="DU77" s="488"/>
      <c r="DV77" s="488"/>
      <c r="DW77" s="488"/>
      <c r="DX77" s="488"/>
      <c r="DY77" s="488"/>
      <c r="DZ77" s="488"/>
      <c r="EA77" s="488"/>
      <c r="EB77" s="489"/>
      <c r="EC77" s="488"/>
      <c r="ED77" s="488"/>
      <c r="EE77" s="488"/>
      <c r="EF77" s="488"/>
      <c r="EG77" s="488"/>
      <c r="EH77" s="488"/>
      <c r="EI77" s="488"/>
      <c r="EJ77" s="488"/>
      <c r="EK77" s="488"/>
      <c r="EL77" s="489"/>
      <c r="EM77" s="488"/>
      <c r="EN77" s="488"/>
      <c r="EO77" s="488"/>
      <c r="EP77" s="488"/>
      <c r="EQ77" s="488"/>
      <c r="ER77" s="488"/>
      <c r="ES77" s="488"/>
      <c r="ET77" s="488"/>
      <c r="EU77" s="488"/>
      <c r="EV77" s="489"/>
    </row>
    <row r="78" spans="1:152" s="496" customFormat="1" ht="13.5" customHeight="1">
      <c r="A78" s="53"/>
      <c r="B78" s="489"/>
      <c r="C78" s="489"/>
      <c r="D78" s="489"/>
      <c r="E78" s="489"/>
      <c r="F78" s="489"/>
      <c r="G78" s="489"/>
      <c r="H78" s="489"/>
      <c r="I78" s="489"/>
      <c r="J78" s="489"/>
      <c r="K78" s="489"/>
      <c r="L78" s="489"/>
      <c r="M78" s="489"/>
      <c r="N78" s="489"/>
      <c r="O78" s="489"/>
      <c r="P78" s="489"/>
      <c r="Q78" s="489"/>
      <c r="R78" s="489"/>
      <c r="S78" s="489"/>
      <c r="T78" s="489"/>
      <c r="U78" s="489"/>
      <c r="V78" s="489"/>
      <c r="W78" s="488"/>
      <c r="X78" s="488"/>
      <c r="Y78" s="488"/>
      <c r="Z78" s="488"/>
      <c r="AA78" s="488"/>
      <c r="AB78" s="488"/>
      <c r="AC78" s="488"/>
      <c r="AD78" s="488"/>
      <c r="AE78" s="488"/>
      <c r="AF78" s="489"/>
      <c r="AG78" s="488"/>
      <c r="AH78" s="488"/>
      <c r="AI78" s="488"/>
      <c r="AJ78" s="488"/>
      <c r="AK78" s="488"/>
      <c r="AL78" s="488"/>
      <c r="AM78" s="488"/>
      <c r="AN78" s="488"/>
      <c r="AO78" s="488"/>
      <c r="AP78" s="489"/>
      <c r="AQ78" s="488"/>
      <c r="AR78" s="488"/>
      <c r="AS78" s="488"/>
      <c r="AT78" s="488"/>
      <c r="AU78" s="488"/>
      <c r="AV78" s="488"/>
      <c r="AW78" s="488"/>
      <c r="AX78" s="488"/>
      <c r="AY78" s="488"/>
      <c r="AZ78" s="489"/>
      <c r="BA78" s="488"/>
      <c r="BB78" s="488"/>
      <c r="BC78" s="488"/>
      <c r="BD78" s="488"/>
      <c r="BE78" s="488"/>
      <c r="BF78" s="488"/>
      <c r="BG78" s="488"/>
      <c r="BH78" s="488"/>
      <c r="BI78" s="488"/>
      <c r="BJ78" s="489"/>
      <c r="BK78" s="488"/>
      <c r="BL78" s="488"/>
      <c r="BM78" s="488"/>
      <c r="BN78" s="488"/>
      <c r="BO78" s="488"/>
      <c r="BP78" s="488"/>
      <c r="BQ78" s="488"/>
      <c r="BR78" s="488"/>
      <c r="BS78" s="488"/>
      <c r="BT78" s="489"/>
      <c r="BU78" s="488"/>
      <c r="BV78" s="488"/>
      <c r="BW78" s="488"/>
      <c r="BX78" s="488"/>
      <c r="BY78" s="488"/>
      <c r="BZ78" s="488"/>
      <c r="CA78" s="488"/>
      <c r="CB78" s="488"/>
      <c r="CC78" s="488"/>
      <c r="CD78" s="489"/>
      <c r="CE78" s="488"/>
      <c r="CF78" s="488"/>
      <c r="CG78" s="488"/>
      <c r="CH78" s="488"/>
      <c r="CI78" s="488"/>
      <c r="CJ78" s="488"/>
      <c r="CK78" s="488"/>
      <c r="CL78" s="488"/>
      <c r="CM78" s="488"/>
      <c r="CN78" s="489"/>
      <c r="CO78" s="488"/>
      <c r="CP78" s="488"/>
      <c r="CQ78" s="488"/>
      <c r="CR78" s="488"/>
      <c r="CS78" s="488"/>
      <c r="CT78" s="488"/>
      <c r="CU78" s="488"/>
      <c r="CV78" s="488"/>
      <c r="CW78" s="488"/>
      <c r="CX78" s="489"/>
      <c r="CY78" s="488"/>
      <c r="CZ78" s="488"/>
      <c r="DA78" s="488"/>
      <c r="DB78" s="488"/>
      <c r="DC78" s="488"/>
      <c r="DD78" s="488"/>
      <c r="DE78" s="488"/>
      <c r="DF78" s="488"/>
      <c r="DG78" s="488"/>
      <c r="DH78" s="489"/>
      <c r="DI78" s="488"/>
      <c r="DJ78" s="488"/>
      <c r="DK78" s="488"/>
      <c r="DL78" s="488"/>
      <c r="DM78" s="488"/>
      <c r="DN78" s="488"/>
      <c r="DO78" s="488"/>
      <c r="DP78" s="488"/>
      <c r="DQ78" s="488"/>
      <c r="DR78" s="489"/>
      <c r="DS78" s="488"/>
      <c r="DT78" s="488"/>
      <c r="DU78" s="488"/>
      <c r="DV78" s="488"/>
      <c r="DW78" s="488"/>
      <c r="DX78" s="488"/>
      <c r="DY78" s="488"/>
      <c r="DZ78" s="488"/>
      <c r="EA78" s="488"/>
      <c r="EB78" s="489"/>
      <c r="EC78" s="488"/>
      <c r="ED78" s="488"/>
      <c r="EE78" s="488"/>
      <c r="EF78" s="488"/>
      <c r="EG78" s="488"/>
      <c r="EH78" s="488"/>
      <c r="EI78" s="488"/>
      <c r="EJ78" s="488"/>
      <c r="EK78" s="488"/>
      <c r="EL78" s="489"/>
      <c r="EM78" s="488"/>
      <c r="EN78" s="488"/>
      <c r="EO78" s="488"/>
      <c r="EP78" s="488"/>
      <c r="EQ78" s="488"/>
      <c r="ER78" s="488"/>
      <c r="ES78" s="488"/>
      <c r="ET78" s="488"/>
      <c r="EU78" s="488"/>
      <c r="EV78" s="489"/>
    </row>
    <row r="79" spans="1:152" s="496" customFormat="1" ht="13.5" customHeight="1">
      <c r="A79" s="53"/>
      <c r="B79" s="489"/>
      <c r="C79" s="489"/>
      <c r="D79" s="489"/>
      <c r="E79" s="489"/>
      <c r="F79" s="489"/>
      <c r="G79" s="489"/>
      <c r="H79" s="489"/>
      <c r="I79" s="489"/>
      <c r="J79" s="489"/>
      <c r="K79" s="489"/>
      <c r="L79" s="489"/>
      <c r="M79" s="489"/>
      <c r="N79" s="489"/>
      <c r="O79" s="489"/>
      <c r="P79" s="489"/>
      <c r="Q79" s="489"/>
      <c r="R79" s="489"/>
      <c r="S79" s="489"/>
      <c r="T79" s="489"/>
      <c r="U79" s="489"/>
      <c r="V79" s="489"/>
      <c r="W79" s="488"/>
      <c r="X79" s="488"/>
      <c r="Y79" s="488"/>
      <c r="Z79" s="488"/>
      <c r="AA79" s="488"/>
      <c r="AB79" s="488"/>
      <c r="AC79" s="488"/>
      <c r="AD79" s="488"/>
      <c r="AE79" s="488"/>
      <c r="AF79" s="489"/>
      <c r="AG79" s="488"/>
      <c r="AH79" s="488"/>
      <c r="AI79" s="488"/>
      <c r="AJ79" s="488"/>
      <c r="AK79" s="488"/>
      <c r="AL79" s="488"/>
      <c r="AM79" s="488"/>
      <c r="AN79" s="488"/>
      <c r="AO79" s="488"/>
      <c r="AP79" s="489"/>
      <c r="AQ79" s="488"/>
      <c r="AR79" s="488"/>
      <c r="AS79" s="488"/>
      <c r="AT79" s="488"/>
      <c r="AU79" s="488"/>
      <c r="AV79" s="488"/>
      <c r="AW79" s="488"/>
      <c r="AX79" s="488"/>
      <c r="AY79" s="488"/>
      <c r="AZ79" s="489"/>
      <c r="BA79" s="488"/>
      <c r="BB79" s="488"/>
      <c r="BC79" s="488"/>
      <c r="BD79" s="488"/>
      <c r="BE79" s="488"/>
      <c r="BF79" s="488"/>
      <c r="BG79" s="488"/>
      <c r="BH79" s="488"/>
      <c r="BI79" s="488"/>
      <c r="BJ79" s="489"/>
      <c r="BK79" s="488"/>
      <c r="BL79" s="488"/>
      <c r="BM79" s="488"/>
      <c r="BN79" s="488"/>
      <c r="BO79" s="488"/>
      <c r="BP79" s="488"/>
      <c r="BQ79" s="488"/>
      <c r="BR79" s="488"/>
      <c r="BS79" s="488"/>
      <c r="BT79" s="489"/>
      <c r="BU79" s="488"/>
      <c r="BV79" s="488"/>
      <c r="BW79" s="488"/>
      <c r="BX79" s="488"/>
      <c r="BY79" s="488"/>
      <c r="BZ79" s="488"/>
      <c r="CA79" s="488"/>
      <c r="CB79" s="488"/>
      <c r="CC79" s="488"/>
      <c r="CD79" s="489"/>
      <c r="CE79" s="488"/>
      <c r="CF79" s="488"/>
      <c r="CG79" s="488"/>
      <c r="CH79" s="488"/>
      <c r="CI79" s="488"/>
      <c r="CJ79" s="488"/>
      <c r="CK79" s="488"/>
      <c r="CL79" s="488"/>
      <c r="CM79" s="488"/>
      <c r="CN79" s="489"/>
      <c r="CO79" s="488"/>
      <c r="CP79" s="488"/>
      <c r="CQ79" s="488"/>
      <c r="CR79" s="488"/>
      <c r="CS79" s="488"/>
      <c r="CT79" s="488"/>
      <c r="CU79" s="488"/>
      <c r="CV79" s="488"/>
      <c r="CW79" s="488"/>
      <c r="CX79" s="489"/>
      <c r="CY79" s="488"/>
      <c r="CZ79" s="488"/>
      <c r="DA79" s="488"/>
      <c r="DB79" s="488"/>
      <c r="DC79" s="488"/>
      <c r="DD79" s="488"/>
      <c r="DE79" s="488"/>
      <c r="DF79" s="488"/>
      <c r="DG79" s="488"/>
      <c r="DH79" s="489"/>
      <c r="DI79" s="488"/>
      <c r="DJ79" s="488"/>
      <c r="DK79" s="488"/>
      <c r="DL79" s="488"/>
      <c r="DM79" s="488"/>
      <c r="DN79" s="488"/>
      <c r="DO79" s="488"/>
      <c r="DP79" s="488"/>
      <c r="DQ79" s="488"/>
      <c r="DR79" s="489"/>
      <c r="DS79" s="488"/>
      <c r="DT79" s="488"/>
      <c r="DU79" s="488"/>
      <c r="DV79" s="488"/>
      <c r="DW79" s="488"/>
      <c r="DX79" s="488"/>
      <c r="DY79" s="488"/>
      <c r="DZ79" s="488"/>
      <c r="EA79" s="488"/>
      <c r="EB79" s="489"/>
      <c r="EC79" s="488"/>
      <c r="ED79" s="488"/>
      <c r="EE79" s="488"/>
      <c r="EF79" s="488"/>
      <c r="EG79" s="488"/>
      <c r="EH79" s="488"/>
      <c r="EI79" s="488"/>
      <c r="EJ79" s="488"/>
      <c r="EK79" s="488"/>
      <c r="EL79" s="489"/>
      <c r="EM79" s="488"/>
      <c r="EN79" s="488"/>
      <c r="EO79" s="488"/>
      <c r="EP79" s="488"/>
      <c r="EQ79" s="488"/>
      <c r="ER79" s="488"/>
      <c r="ES79" s="488"/>
      <c r="ET79" s="488"/>
      <c r="EU79" s="488"/>
      <c r="EV79" s="489"/>
    </row>
    <row r="80" spans="1:152" s="496" customFormat="1" ht="13.5" customHeight="1">
      <c r="A80" s="69" t="s">
        <v>52</v>
      </c>
      <c r="D80" s="1263" t="s">
        <v>44</v>
      </c>
      <c r="E80" s="1263"/>
      <c r="F80" s="1263"/>
      <c r="G80" s="1263"/>
      <c r="V80" s="497"/>
      <c r="AF80" s="497"/>
      <c r="AP80" s="497"/>
      <c r="AZ80" s="497"/>
      <c r="BJ80" s="497"/>
      <c r="BT80" s="497"/>
      <c r="CD80" s="497"/>
      <c r="CN80" s="497"/>
      <c r="CX80" s="497"/>
      <c r="DH80" s="497"/>
      <c r="DR80" s="497"/>
      <c r="EB80" s="489"/>
      <c r="EC80" s="488"/>
      <c r="ED80" s="488"/>
      <c r="EE80" s="488"/>
      <c r="EF80" s="488"/>
      <c r="EG80" s="488"/>
      <c r="EH80" s="488"/>
      <c r="EI80" s="488"/>
      <c r="EJ80" s="488"/>
      <c r="EK80" s="488"/>
      <c r="EL80" s="489"/>
      <c r="EM80" s="488"/>
      <c r="EN80" s="488"/>
      <c r="EO80" s="488"/>
      <c r="EP80" s="488"/>
      <c r="EQ80" s="488"/>
      <c r="ER80" s="488"/>
      <c r="ES80" s="488"/>
      <c r="ET80" s="488"/>
      <c r="EU80" s="488"/>
      <c r="EV80" s="489"/>
    </row>
    <row r="81" spans="1:152" s="496" customFormat="1" ht="13.5" customHeight="1">
      <c r="A81" s="483" t="s">
        <v>43</v>
      </c>
      <c r="B81" s="484">
        <v>0</v>
      </c>
      <c r="C81" s="484">
        <v>0</v>
      </c>
      <c r="D81" s="484">
        <v>0</v>
      </c>
      <c r="E81" s="484">
        <v>0</v>
      </c>
      <c r="F81" s="1271">
        <v>9</v>
      </c>
      <c r="G81" s="484">
        <v>0</v>
      </c>
      <c r="H81" s="484">
        <v>0</v>
      </c>
      <c r="I81" s="484">
        <v>0</v>
      </c>
      <c r="J81" s="484">
        <v>0</v>
      </c>
      <c r="K81" s="1271">
        <v>0</v>
      </c>
      <c r="L81" s="484">
        <v>0</v>
      </c>
      <c r="M81" s="484">
        <v>0</v>
      </c>
      <c r="N81" s="484">
        <v>0</v>
      </c>
      <c r="O81" s="484">
        <v>0</v>
      </c>
      <c r="P81" s="1271">
        <v>0</v>
      </c>
      <c r="Q81" s="484">
        <v>0</v>
      </c>
      <c r="R81" s="484">
        <v>0</v>
      </c>
      <c r="S81" s="484">
        <v>0</v>
      </c>
      <c r="T81" s="484">
        <v>0</v>
      </c>
      <c r="U81" s="1271">
        <v>0</v>
      </c>
      <c r="V81" s="484">
        <v>0</v>
      </c>
      <c r="W81" s="485">
        <v>0</v>
      </c>
      <c r="X81" s="485">
        <v>0</v>
      </c>
      <c r="Y81" s="485">
        <v>0</v>
      </c>
      <c r="Z81" s="1274">
        <v>0</v>
      </c>
      <c r="AA81" s="485">
        <v>0</v>
      </c>
      <c r="AB81" s="485">
        <v>0</v>
      </c>
      <c r="AC81" s="485">
        <v>0</v>
      </c>
      <c r="AD81" s="485">
        <v>0</v>
      </c>
      <c r="AE81" s="1274">
        <v>0</v>
      </c>
      <c r="AF81" s="484">
        <v>0</v>
      </c>
      <c r="AG81" s="485">
        <v>0</v>
      </c>
      <c r="AH81" s="485">
        <v>0</v>
      </c>
      <c r="AI81" s="485">
        <v>0</v>
      </c>
      <c r="AJ81" s="1274">
        <v>0</v>
      </c>
      <c r="AK81" s="485">
        <v>0</v>
      </c>
      <c r="AL81" s="485">
        <v>0</v>
      </c>
      <c r="AM81" s="485">
        <v>0</v>
      </c>
      <c r="AN81" s="485">
        <v>0</v>
      </c>
      <c r="AO81" s="1274">
        <v>0</v>
      </c>
      <c r="AP81" s="485">
        <v>0</v>
      </c>
      <c r="AQ81" s="485">
        <v>0</v>
      </c>
      <c r="AR81" s="485">
        <v>0</v>
      </c>
      <c r="AS81" s="485">
        <v>0</v>
      </c>
      <c r="AT81" s="1274">
        <v>0</v>
      </c>
      <c r="AU81" s="485">
        <v>0</v>
      </c>
      <c r="AV81" s="485">
        <v>0</v>
      </c>
      <c r="AW81" s="485">
        <v>0</v>
      </c>
      <c r="AX81" s="485">
        <v>0</v>
      </c>
      <c r="AY81" s="1274">
        <v>0</v>
      </c>
      <c r="AZ81" s="485">
        <v>0</v>
      </c>
      <c r="BA81" s="485">
        <v>0</v>
      </c>
      <c r="BB81" s="485">
        <v>0</v>
      </c>
      <c r="BC81" s="485">
        <v>0</v>
      </c>
      <c r="BD81" s="1274">
        <v>0</v>
      </c>
      <c r="BE81" s="485">
        <v>0</v>
      </c>
      <c r="BF81" s="485">
        <v>0</v>
      </c>
      <c r="BG81" s="485">
        <v>0</v>
      </c>
      <c r="BH81" s="485">
        <v>0</v>
      </c>
      <c r="BI81" s="1274">
        <v>0</v>
      </c>
      <c r="BJ81" s="485">
        <v>0</v>
      </c>
      <c r="BK81" s="485">
        <v>0</v>
      </c>
      <c r="BL81" s="485">
        <v>0</v>
      </c>
      <c r="BM81" s="485">
        <v>0</v>
      </c>
      <c r="BN81" s="485">
        <v>0</v>
      </c>
      <c r="BO81" s="485">
        <v>0</v>
      </c>
      <c r="BP81" s="485">
        <v>0</v>
      </c>
      <c r="BQ81" s="485">
        <v>0</v>
      </c>
      <c r="BR81" s="485">
        <v>0</v>
      </c>
      <c r="BS81" s="485">
        <v>0</v>
      </c>
      <c r="BT81" s="485">
        <v>0</v>
      </c>
      <c r="BU81" s="485">
        <v>0</v>
      </c>
      <c r="BV81" s="485">
        <v>0</v>
      </c>
      <c r="BW81" s="485">
        <v>0</v>
      </c>
      <c r="BX81" s="485">
        <v>0</v>
      </c>
      <c r="BY81" s="485">
        <v>0</v>
      </c>
      <c r="BZ81" s="485">
        <v>0</v>
      </c>
      <c r="CA81" s="485">
        <v>0</v>
      </c>
      <c r="CB81" s="485">
        <v>0</v>
      </c>
      <c r="CC81" s="485">
        <v>0</v>
      </c>
      <c r="CD81" s="485">
        <v>0</v>
      </c>
      <c r="CE81" s="485">
        <v>0</v>
      </c>
      <c r="CF81" s="485">
        <v>0</v>
      </c>
      <c r="CG81" s="485">
        <v>0</v>
      </c>
      <c r="CH81" s="485">
        <v>0</v>
      </c>
      <c r="CI81" s="485">
        <v>0</v>
      </c>
      <c r="CJ81" s="485">
        <v>0</v>
      </c>
      <c r="CK81" s="485">
        <v>0</v>
      </c>
      <c r="CL81" s="485">
        <v>0</v>
      </c>
      <c r="CM81" s="485">
        <v>0</v>
      </c>
      <c r="CN81" s="485">
        <v>0</v>
      </c>
      <c r="CO81" s="485">
        <v>0</v>
      </c>
      <c r="CP81" s="485">
        <v>0</v>
      </c>
      <c r="CQ81" s="485">
        <v>0</v>
      </c>
      <c r="CR81" s="485">
        <v>0</v>
      </c>
      <c r="CS81" s="485">
        <v>0</v>
      </c>
      <c r="CT81" s="485">
        <v>0</v>
      </c>
      <c r="CU81" s="485">
        <v>0</v>
      </c>
      <c r="CV81" s="485">
        <v>0</v>
      </c>
      <c r="CW81" s="485">
        <v>0</v>
      </c>
      <c r="CX81" s="485">
        <v>0</v>
      </c>
      <c r="CY81" s="485">
        <v>0</v>
      </c>
      <c r="CZ81" s="485">
        <v>0</v>
      </c>
      <c r="DA81" s="485">
        <v>0</v>
      </c>
      <c r="DB81" s="485">
        <v>0</v>
      </c>
      <c r="DC81" s="485">
        <v>0</v>
      </c>
      <c r="DD81" s="485">
        <v>0</v>
      </c>
      <c r="DE81" s="485">
        <v>0</v>
      </c>
      <c r="DF81" s="485">
        <v>0</v>
      </c>
      <c r="DG81" s="485">
        <v>0</v>
      </c>
      <c r="DH81" s="485">
        <v>0</v>
      </c>
      <c r="DI81" s="485">
        <v>0</v>
      </c>
      <c r="DJ81" s="485">
        <v>0</v>
      </c>
      <c r="DK81" s="485">
        <v>0</v>
      </c>
      <c r="DL81" s="485">
        <v>0</v>
      </c>
      <c r="DM81" s="485">
        <v>0</v>
      </c>
      <c r="DN81" s="485">
        <v>0</v>
      </c>
      <c r="DO81" s="485">
        <v>0</v>
      </c>
      <c r="DP81" s="485">
        <v>0</v>
      </c>
      <c r="DQ81" s="485">
        <v>0</v>
      </c>
      <c r="DR81" s="485">
        <v>0</v>
      </c>
      <c r="DS81" s="485">
        <v>0</v>
      </c>
      <c r="DT81" s="485">
        <v>0</v>
      </c>
      <c r="DU81" s="485">
        <v>0</v>
      </c>
      <c r="DV81" s="485">
        <v>0</v>
      </c>
      <c r="DW81" s="485">
        <v>0</v>
      </c>
      <c r="DX81" s="485">
        <v>0</v>
      </c>
      <c r="DY81" s="485">
        <v>0</v>
      </c>
      <c r="DZ81" s="485">
        <v>0</v>
      </c>
      <c r="EA81" s="485">
        <v>0</v>
      </c>
      <c r="EB81" s="485">
        <v>0</v>
      </c>
      <c r="EC81" s="485">
        <v>0</v>
      </c>
      <c r="ED81" s="485">
        <v>0</v>
      </c>
      <c r="EE81" s="485">
        <v>0</v>
      </c>
      <c r="EF81" s="485">
        <v>0</v>
      </c>
      <c r="EG81" s="485">
        <v>0</v>
      </c>
      <c r="EH81" s="485">
        <v>0</v>
      </c>
      <c r="EI81" s="485">
        <v>0</v>
      </c>
      <c r="EJ81" s="485">
        <v>0</v>
      </c>
      <c r="EK81" s="485">
        <v>0</v>
      </c>
      <c r="EL81" s="485">
        <v>0</v>
      </c>
      <c r="EM81" s="485">
        <v>0</v>
      </c>
      <c r="EN81" s="485">
        <v>0</v>
      </c>
      <c r="EO81" s="485">
        <v>0</v>
      </c>
      <c r="EP81" s="485">
        <v>0</v>
      </c>
      <c r="EQ81" s="485">
        <v>0</v>
      </c>
      <c r="ER81" s="485">
        <v>0</v>
      </c>
      <c r="ES81" s="485">
        <v>0</v>
      </c>
      <c r="ET81" s="485">
        <v>0</v>
      </c>
      <c r="EU81" s="485">
        <v>0</v>
      </c>
      <c r="EV81" s="485">
        <v>0</v>
      </c>
    </row>
    <row r="82" spans="1:152" s="496" customFormat="1" ht="13.5" customHeight="1">
      <c r="A82" s="6" t="s">
        <v>7</v>
      </c>
      <c r="B82" s="1274">
        <v>14.2</v>
      </c>
      <c r="C82" s="1274">
        <v>14.2</v>
      </c>
      <c r="D82" s="1274">
        <v>14.2</v>
      </c>
      <c r="E82" s="1274">
        <v>14.2</v>
      </c>
      <c r="F82" s="1274">
        <v>14.2</v>
      </c>
      <c r="G82" s="1274">
        <v>14.2</v>
      </c>
      <c r="H82" s="1274">
        <v>14.2</v>
      </c>
      <c r="I82" s="1274">
        <v>14.2</v>
      </c>
      <c r="J82" s="1274">
        <v>14.2</v>
      </c>
      <c r="K82" s="1274">
        <v>14.2</v>
      </c>
      <c r="L82" s="1274">
        <v>14.2</v>
      </c>
      <c r="M82" s="1274">
        <v>14.2</v>
      </c>
      <c r="N82" s="1274">
        <v>14.2</v>
      </c>
      <c r="O82" s="1274">
        <v>14.2</v>
      </c>
      <c r="P82" s="1274">
        <v>14.2</v>
      </c>
      <c r="Q82" s="1274">
        <v>14.2</v>
      </c>
      <c r="R82" s="1274">
        <v>14.2</v>
      </c>
      <c r="S82" s="1274">
        <v>14.2</v>
      </c>
      <c r="T82" s="1274">
        <v>14.2</v>
      </c>
      <c r="U82" s="1274">
        <v>14.2</v>
      </c>
      <c r="V82" s="1271">
        <v>14.2</v>
      </c>
      <c r="W82" s="1274">
        <v>13.99</v>
      </c>
      <c r="X82" s="1274">
        <v>13.78</v>
      </c>
      <c r="Y82" s="1274">
        <v>13.57</v>
      </c>
      <c r="Z82" s="1274">
        <v>13.36</v>
      </c>
      <c r="AA82" s="1274">
        <v>13.15</v>
      </c>
      <c r="AB82" s="1274">
        <v>12.94</v>
      </c>
      <c r="AC82" s="1274">
        <v>12.73</v>
      </c>
      <c r="AD82" s="1274">
        <v>12.52</v>
      </c>
      <c r="AE82" s="1274">
        <v>12.31</v>
      </c>
      <c r="AF82" s="1271">
        <v>12.1</v>
      </c>
      <c r="AG82" s="1274">
        <v>11.94</v>
      </c>
      <c r="AH82" s="1274">
        <v>11.78</v>
      </c>
      <c r="AI82" s="1274">
        <v>11.62</v>
      </c>
      <c r="AJ82" s="1274">
        <v>11.46</v>
      </c>
      <c r="AK82" s="1274">
        <v>11.3</v>
      </c>
      <c r="AL82" s="1274">
        <v>11.14</v>
      </c>
      <c r="AM82" s="1274">
        <v>10.98</v>
      </c>
      <c r="AN82" s="1274">
        <v>10.82</v>
      </c>
      <c r="AO82" s="1274">
        <v>10.66</v>
      </c>
      <c r="AP82" s="1274">
        <v>10.5</v>
      </c>
      <c r="AQ82" s="1274">
        <v>10.33</v>
      </c>
      <c r="AR82" s="1274">
        <v>10.16</v>
      </c>
      <c r="AS82" s="1274">
        <v>9.99</v>
      </c>
      <c r="AT82" s="1274">
        <v>9.82</v>
      </c>
      <c r="AU82" s="1274">
        <v>9.65</v>
      </c>
      <c r="AV82" s="1274">
        <v>9.48</v>
      </c>
      <c r="AW82" s="1274">
        <v>9.31</v>
      </c>
      <c r="AX82" s="1274">
        <v>9.14</v>
      </c>
      <c r="AY82" s="1274">
        <v>8.97</v>
      </c>
      <c r="AZ82" s="1274">
        <v>8.8</v>
      </c>
      <c r="BA82" s="1274">
        <v>8.7</v>
      </c>
      <c r="BB82" s="1274">
        <v>8.6</v>
      </c>
      <c r="BC82" s="1274">
        <v>8.5</v>
      </c>
      <c r="BD82" s="1274">
        <v>8.4</v>
      </c>
      <c r="BE82" s="1274">
        <v>8.3</v>
      </c>
      <c r="BF82" s="1274">
        <v>8.2</v>
      </c>
      <c r="BG82" s="1274">
        <v>8.1</v>
      </c>
      <c r="BH82" s="1274">
        <v>8</v>
      </c>
      <c r="BI82" s="1274">
        <v>7.9</v>
      </c>
      <c r="BJ82" s="1274">
        <v>7.8</v>
      </c>
      <c r="BK82" s="1274">
        <v>7.7</v>
      </c>
      <c r="BL82" s="1274">
        <v>7.6</v>
      </c>
      <c r="BM82" s="1274">
        <v>7.5</v>
      </c>
      <c r="BN82" s="1274">
        <v>7.4</v>
      </c>
      <c r="BO82" s="1274">
        <v>7.3</v>
      </c>
      <c r="BP82" s="1274">
        <v>7.2</v>
      </c>
      <c r="BQ82" s="1274">
        <v>7.1</v>
      </c>
      <c r="BR82" s="1274">
        <v>7</v>
      </c>
      <c r="BS82" s="1274">
        <v>6.9</v>
      </c>
      <c r="BT82" s="1274">
        <v>6.8</v>
      </c>
      <c r="BU82" s="1274">
        <v>6.72</v>
      </c>
      <c r="BV82" s="1274">
        <v>6.64</v>
      </c>
      <c r="BW82" s="1274">
        <v>6.56</v>
      </c>
      <c r="BX82" s="1274">
        <v>6.48</v>
      </c>
      <c r="BY82" s="1274">
        <v>6.4</v>
      </c>
      <c r="BZ82" s="1274">
        <v>6.32</v>
      </c>
      <c r="CA82" s="1274">
        <v>6.24</v>
      </c>
      <c r="CB82" s="1274">
        <v>6.16</v>
      </c>
      <c r="CC82" s="1274">
        <v>6.08</v>
      </c>
      <c r="CD82" s="1274">
        <v>6</v>
      </c>
      <c r="CE82" s="1274">
        <v>5.95</v>
      </c>
      <c r="CF82" s="1274">
        <v>5.9</v>
      </c>
      <c r="CG82" s="1274">
        <v>5.85</v>
      </c>
      <c r="CH82" s="1274">
        <v>5.8</v>
      </c>
      <c r="CI82" s="1274">
        <v>5.75</v>
      </c>
      <c r="CJ82" s="1274">
        <v>5.7</v>
      </c>
      <c r="CK82" s="1274">
        <v>5.65</v>
      </c>
      <c r="CL82" s="1274">
        <v>5.6</v>
      </c>
      <c r="CM82" s="1274">
        <v>5.55</v>
      </c>
      <c r="CN82" s="1274">
        <v>5.5</v>
      </c>
      <c r="CO82" s="1274">
        <v>4.95</v>
      </c>
      <c r="CP82" s="1274">
        <v>4.4</v>
      </c>
      <c r="CQ82" s="1274">
        <v>3.85</v>
      </c>
      <c r="CR82" s="1274">
        <v>3.3</v>
      </c>
      <c r="CS82" s="1274">
        <v>2.75</v>
      </c>
      <c r="CT82" s="1274">
        <v>2.2</v>
      </c>
      <c r="CU82" s="1274">
        <v>1.65</v>
      </c>
      <c r="CV82" s="1274">
        <v>1.1</v>
      </c>
      <c r="CW82" s="1274">
        <v>0.5500000000000009</v>
      </c>
      <c r="CX82" s="1274">
        <v>0</v>
      </c>
      <c r="CY82" s="1274">
        <v>0</v>
      </c>
      <c r="CZ82" s="1274">
        <v>0</v>
      </c>
      <c r="DA82" s="1274">
        <v>0</v>
      </c>
      <c r="DB82" s="1274">
        <v>0</v>
      </c>
      <c r="DC82" s="1274">
        <v>0</v>
      </c>
      <c r="DD82" s="1274">
        <v>0</v>
      </c>
      <c r="DE82" s="1274">
        <v>0</v>
      </c>
      <c r="DF82" s="1274">
        <v>0</v>
      </c>
      <c r="DG82" s="1274">
        <v>0</v>
      </c>
      <c r="DH82" s="1274">
        <v>0</v>
      </c>
      <c r="DI82" s="1274">
        <v>0</v>
      </c>
      <c r="DJ82" s="1274">
        <v>0</v>
      </c>
      <c r="DK82" s="1274">
        <v>0</v>
      </c>
      <c r="DL82" s="1274">
        <v>0</v>
      </c>
      <c r="DM82" s="1274">
        <v>0</v>
      </c>
      <c r="DN82" s="1274">
        <v>0</v>
      </c>
      <c r="DO82" s="1274">
        <v>0</v>
      </c>
      <c r="DP82" s="1274">
        <v>0</v>
      </c>
      <c r="DQ82" s="1274">
        <v>0</v>
      </c>
      <c r="DR82" s="1274">
        <v>0</v>
      </c>
      <c r="DS82" s="1274">
        <v>0</v>
      </c>
      <c r="DT82" s="1274">
        <v>0</v>
      </c>
      <c r="DU82" s="1274">
        <v>0</v>
      </c>
      <c r="DV82" s="1274">
        <v>0</v>
      </c>
      <c r="DW82" s="1274">
        <v>0</v>
      </c>
      <c r="DX82" s="1274">
        <v>0</v>
      </c>
      <c r="DY82" s="1274">
        <v>0</v>
      </c>
      <c r="DZ82" s="1274">
        <v>0</v>
      </c>
      <c r="EA82" s="1274">
        <v>0</v>
      </c>
      <c r="EB82" s="1274">
        <v>0</v>
      </c>
      <c r="EC82" s="1274">
        <v>0</v>
      </c>
      <c r="ED82" s="1274">
        <v>0</v>
      </c>
      <c r="EE82" s="1274">
        <v>0</v>
      </c>
      <c r="EF82" s="1274">
        <v>0</v>
      </c>
      <c r="EG82" s="1274">
        <v>0</v>
      </c>
      <c r="EH82" s="1274">
        <v>0</v>
      </c>
      <c r="EI82" s="1274">
        <v>0</v>
      </c>
      <c r="EJ82" s="1274">
        <v>0</v>
      </c>
      <c r="EK82" s="1274">
        <v>0</v>
      </c>
      <c r="EL82" s="1274">
        <v>0</v>
      </c>
      <c r="EM82" s="1274">
        <v>0</v>
      </c>
      <c r="EN82" s="1274">
        <v>0</v>
      </c>
      <c r="EO82" s="1274">
        <v>0</v>
      </c>
      <c r="EP82" s="1274">
        <v>0</v>
      </c>
      <c r="EQ82" s="1274">
        <v>0</v>
      </c>
      <c r="ER82" s="1274">
        <v>0</v>
      </c>
      <c r="ES82" s="1274">
        <v>0</v>
      </c>
      <c r="ET82" s="1274">
        <v>0</v>
      </c>
      <c r="EU82" s="1274">
        <v>0</v>
      </c>
      <c r="EV82" s="1274">
        <v>0</v>
      </c>
    </row>
    <row r="83" s="496" customFormat="1" ht="13.5" customHeight="1"/>
    <row r="84" spans="1:152" s="496" customFormat="1" ht="13.5" customHeight="1">
      <c r="A84" s="53"/>
      <c r="B84" s="488"/>
      <c r="C84" s="488"/>
      <c r="D84" s="488"/>
      <c r="E84" s="488"/>
      <c r="F84" s="488"/>
      <c r="G84" s="488"/>
      <c r="H84" s="488"/>
      <c r="I84" s="488"/>
      <c r="J84" s="488"/>
      <c r="K84" s="488"/>
      <c r="L84" s="488"/>
      <c r="M84" s="488"/>
      <c r="N84" s="488"/>
      <c r="O84" s="488"/>
      <c r="P84" s="488"/>
      <c r="Q84" s="488"/>
      <c r="R84" s="488"/>
      <c r="S84" s="488"/>
      <c r="T84" s="488"/>
      <c r="U84" s="488"/>
      <c r="V84" s="489"/>
      <c r="W84" s="488"/>
      <c r="X84" s="488"/>
      <c r="Y84" s="488"/>
      <c r="Z84" s="488"/>
      <c r="AA84" s="488"/>
      <c r="AB84" s="488"/>
      <c r="AC84" s="488"/>
      <c r="AD84" s="488"/>
      <c r="AE84" s="488"/>
      <c r="AF84" s="489"/>
      <c r="AG84" s="488"/>
      <c r="AH84" s="488"/>
      <c r="AI84" s="488"/>
      <c r="AJ84" s="488"/>
      <c r="AK84" s="488"/>
      <c r="AL84" s="488"/>
      <c r="AM84" s="488"/>
      <c r="AN84" s="488"/>
      <c r="AO84" s="488"/>
      <c r="AP84" s="488"/>
      <c r="AQ84" s="488"/>
      <c r="AR84" s="488"/>
      <c r="AS84" s="488"/>
      <c r="AT84" s="488"/>
      <c r="AU84" s="488"/>
      <c r="AV84" s="488"/>
      <c r="AW84" s="488"/>
      <c r="AX84" s="488"/>
      <c r="AY84" s="488"/>
      <c r="AZ84" s="488"/>
      <c r="BA84" s="488"/>
      <c r="BB84" s="488"/>
      <c r="BC84" s="488"/>
      <c r="BD84" s="488"/>
      <c r="BE84" s="488"/>
      <c r="BF84" s="488"/>
      <c r="BG84" s="488"/>
      <c r="BH84" s="488"/>
      <c r="BI84" s="488"/>
      <c r="BJ84" s="488"/>
      <c r="BK84" s="488"/>
      <c r="BL84" s="488"/>
      <c r="BM84" s="488"/>
      <c r="BN84" s="488"/>
      <c r="BO84" s="488"/>
      <c r="BP84" s="488"/>
      <c r="BQ84" s="488"/>
      <c r="BR84" s="488"/>
      <c r="BS84" s="488"/>
      <c r="BT84" s="488"/>
      <c r="BU84" s="488"/>
      <c r="BV84" s="488"/>
      <c r="BW84" s="488"/>
      <c r="BX84" s="488"/>
      <c r="BY84" s="488"/>
      <c r="BZ84" s="488"/>
      <c r="CA84" s="488"/>
      <c r="CB84" s="488"/>
      <c r="CC84" s="488"/>
      <c r="CD84" s="488"/>
      <c r="CE84" s="488"/>
      <c r="CF84" s="488"/>
      <c r="CG84" s="488"/>
      <c r="CH84" s="488"/>
      <c r="CI84" s="488"/>
      <c r="CJ84" s="488"/>
      <c r="CK84" s="488"/>
      <c r="CL84" s="488"/>
      <c r="CM84" s="488"/>
      <c r="CN84" s="488"/>
      <c r="CO84" s="488"/>
      <c r="CP84" s="488"/>
      <c r="CQ84" s="488"/>
      <c r="CR84" s="488"/>
      <c r="CS84" s="488"/>
      <c r="CT84" s="488"/>
      <c r="CU84" s="488"/>
      <c r="CV84" s="488"/>
      <c r="CW84" s="488"/>
      <c r="CX84" s="488"/>
      <c r="CY84" s="488"/>
      <c r="CZ84" s="488"/>
      <c r="DA84" s="488"/>
      <c r="DB84" s="488"/>
      <c r="DC84" s="488"/>
      <c r="DD84" s="488"/>
      <c r="DE84" s="488"/>
      <c r="DF84" s="488"/>
      <c r="DG84" s="488"/>
      <c r="DH84" s="488"/>
      <c r="DI84" s="488"/>
      <c r="DJ84" s="488"/>
      <c r="DK84" s="488"/>
      <c r="DL84" s="488"/>
      <c r="DM84" s="488"/>
      <c r="DN84" s="488"/>
      <c r="DO84" s="488"/>
      <c r="DP84" s="488"/>
      <c r="DQ84" s="488"/>
      <c r="DR84" s="488"/>
      <c r="DS84" s="488"/>
      <c r="DT84" s="488"/>
      <c r="DU84" s="488"/>
      <c r="DV84" s="488"/>
      <c r="DW84" s="488"/>
      <c r="DX84" s="488"/>
      <c r="DY84" s="488"/>
      <c r="DZ84" s="488"/>
      <c r="EA84" s="488"/>
      <c r="EB84" s="488"/>
      <c r="EC84" s="488"/>
      <c r="ED84" s="488"/>
      <c r="EE84" s="488"/>
      <c r="EF84" s="488"/>
      <c r="EG84" s="488"/>
      <c r="EH84" s="488"/>
      <c r="EI84" s="488"/>
      <c r="EJ84" s="488"/>
      <c r="EK84" s="488"/>
      <c r="EL84" s="488"/>
      <c r="EM84" s="488"/>
      <c r="EN84" s="488"/>
      <c r="EO84" s="488"/>
      <c r="EP84" s="488"/>
      <c r="EQ84" s="488"/>
      <c r="ER84" s="488"/>
      <c r="ES84" s="488"/>
      <c r="ET84" s="488"/>
      <c r="EU84" s="488"/>
      <c r="EV84" s="488"/>
    </row>
    <row r="85" spans="1:152" s="496" customFormat="1" ht="13.5" customHeight="1">
      <c r="A85" s="53"/>
      <c r="B85" s="488"/>
      <c r="C85" s="488"/>
      <c r="D85" s="488"/>
      <c r="E85" s="488"/>
      <c r="F85" s="488"/>
      <c r="G85" s="488"/>
      <c r="H85" s="488"/>
      <c r="I85" s="488"/>
      <c r="J85" s="488"/>
      <c r="K85" s="488"/>
      <c r="L85" s="488"/>
      <c r="M85" s="488"/>
      <c r="N85" s="488"/>
      <c r="O85" s="488"/>
      <c r="P85" s="488"/>
      <c r="Q85" s="488"/>
      <c r="R85" s="488"/>
      <c r="S85" s="488"/>
      <c r="T85" s="488"/>
      <c r="U85" s="488"/>
      <c r="V85" s="489"/>
      <c r="W85" s="488"/>
      <c r="X85" s="488"/>
      <c r="Y85" s="488"/>
      <c r="Z85" s="488"/>
      <c r="AA85" s="488"/>
      <c r="AB85" s="488"/>
      <c r="AC85" s="488"/>
      <c r="AD85" s="488"/>
      <c r="AE85" s="488"/>
      <c r="AF85" s="489"/>
      <c r="AG85" s="488"/>
      <c r="AH85" s="488"/>
      <c r="AI85" s="488"/>
      <c r="AJ85" s="488"/>
      <c r="AK85" s="488"/>
      <c r="AL85" s="488"/>
      <c r="AM85" s="488"/>
      <c r="AN85" s="488"/>
      <c r="AO85" s="488"/>
      <c r="AP85" s="488"/>
      <c r="AQ85" s="488"/>
      <c r="AR85" s="488"/>
      <c r="AS85" s="488"/>
      <c r="AT85" s="488"/>
      <c r="AU85" s="488"/>
      <c r="AV85" s="488"/>
      <c r="AW85" s="488"/>
      <c r="AX85" s="488"/>
      <c r="AY85" s="488"/>
      <c r="AZ85" s="488"/>
      <c r="BA85" s="488"/>
      <c r="BB85" s="488"/>
      <c r="BC85" s="488"/>
      <c r="BD85" s="488"/>
      <c r="BE85" s="488"/>
      <c r="BF85" s="488"/>
      <c r="BG85" s="488"/>
      <c r="BH85" s="488"/>
      <c r="BI85" s="488"/>
      <c r="BJ85" s="488"/>
      <c r="BK85" s="488"/>
      <c r="BL85" s="488"/>
      <c r="BM85" s="488"/>
      <c r="BN85" s="488"/>
      <c r="BO85" s="488"/>
      <c r="BP85" s="488"/>
      <c r="BQ85" s="488"/>
      <c r="BR85" s="488"/>
      <c r="BS85" s="488"/>
      <c r="BT85" s="488"/>
      <c r="BU85" s="488"/>
      <c r="BV85" s="488"/>
      <c r="BW85" s="488"/>
      <c r="BX85" s="488"/>
      <c r="BY85" s="488"/>
      <c r="BZ85" s="488"/>
      <c r="CA85" s="488"/>
      <c r="CB85" s="488"/>
      <c r="CC85" s="488"/>
      <c r="CD85" s="488"/>
      <c r="CE85" s="488"/>
      <c r="CF85" s="488"/>
      <c r="CG85" s="488"/>
      <c r="CH85" s="488"/>
      <c r="CI85" s="488"/>
      <c r="CJ85" s="488"/>
      <c r="CK85" s="488"/>
      <c r="CL85" s="488"/>
      <c r="CM85" s="488"/>
      <c r="CN85" s="488"/>
      <c r="CO85" s="488"/>
      <c r="CP85" s="488"/>
      <c r="CQ85" s="488"/>
      <c r="CR85" s="488"/>
      <c r="CS85" s="488"/>
      <c r="CT85" s="488"/>
      <c r="CU85" s="488"/>
      <c r="CV85" s="488"/>
      <c r="CW85" s="488"/>
      <c r="CX85" s="488"/>
      <c r="CY85" s="488"/>
      <c r="CZ85" s="488"/>
      <c r="DA85" s="488"/>
      <c r="DB85" s="488"/>
      <c r="DC85" s="488"/>
      <c r="DD85" s="488"/>
      <c r="DE85" s="488"/>
      <c r="DF85" s="488"/>
      <c r="DG85" s="488"/>
      <c r="DH85" s="488"/>
      <c r="DI85" s="488"/>
      <c r="DJ85" s="488"/>
      <c r="DK85" s="488"/>
      <c r="DL85" s="488"/>
      <c r="DM85" s="488"/>
      <c r="DN85" s="488"/>
      <c r="DO85" s="488"/>
      <c r="DP85" s="488"/>
      <c r="DQ85" s="488"/>
      <c r="DR85" s="488"/>
      <c r="DS85" s="488"/>
      <c r="DT85" s="488"/>
      <c r="DU85" s="488"/>
      <c r="DV85" s="488"/>
      <c r="DW85" s="488"/>
      <c r="DX85" s="488"/>
      <c r="DY85" s="488"/>
      <c r="DZ85" s="488"/>
      <c r="EA85" s="488"/>
      <c r="EB85" s="488"/>
      <c r="EC85" s="488"/>
      <c r="ED85" s="488"/>
      <c r="EE85" s="488"/>
      <c r="EF85" s="488"/>
      <c r="EG85" s="488"/>
      <c r="EH85" s="488"/>
      <c r="EI85" s="488"/>
      <c r="EJ85" s="488"/>
      <c r="EK85" s="488"/>
      <c r="EL85" s="488"/>
      <c r="EM85" s="488"/>
      <c r="EN85" s="488"/>
      <c r="EO85" s="488"/>
      <c r="EP85" s="488"/>
      <c r="EQ85" s="488"/>
      <c r="ER85" s="488"/>
      <c r="ES85" s="488"/>
      <c r="ET85" s="488"/>
      <c r="EU85" s="488"/>
      <c r="EV85" s="488"/>
    </row>
    <row r="86" spans="1:152" s="496" customFormat="1" ht="13.5" customHeight="1">
      <c r="A86" s="53"/>
      <c r="B86" s="488"/>
      <c r="C86" s="488"/>
      <c r="D86" s="488"/>
      <c r="E86" s="488"/>
      <c r="F86" s="488"/>
      <c r="G86" s="488"/>
      <c r="H86" s="488"/>
      <c r="I86" s="488"/>
      <c r="J86" s="488"/>
      <c r="K86" s="488"/>
      <c r="L86" s="488"/>
      <c r="M86" s="488"/>
      <c r="N86" s="488"/>
      <c r="O86" s="488"/>
      <c r="P86" s="488"/>
      <c r="Q86" s="488"/>
      <c r="R86" s="488"/>
      <c r="S86" s="488"/>
      <c r="T86" s="488"/>
      <c r="U86" s="488"/>
      <c r="V86" s="489"/>
      <c r="W86" s="488"/>
      <c r="X86" s="488"/>
      <c r="Y86" s="488"/>
      <c r="Z86" s="488"/>
      <c r="AA86" s="488"/>
      <c r="AB86" s="488"/>
      <c r="AC86" s="488"/>
      <c r="AD86" s="488"/>
      <c r="AE86" s="488"/>
      <c r="AF86" s="489"/>
      <c r="AG86" s="488"/>
      <c r="AH86" s="488"/>
      <c r="AI86" s="488"/>
      <c r="AJ86" s="488"/>
      <c r="AK86" s="488"/>
      <c r="AL86" s="488"/>
      <c r="AM86" s="488"/>
      <c r="AN86" s="488"/>
      <c r="AO86" s="488"/>
      <c r="AP86" s="488"/>
      <c r="AQ86" s="488"/>
      <c r="AR86" s="488"/>
      <c r="AS86" s="488"/>
      <c r="AT86" s="488"/>
      <c r="AU86" s="488"/>
      <c r="AV86" s="488"/>
      <c r="AW86" s="488"/>
      <c r="AX86" s="488"/>
      <c r="AY86" s="488"/>
      <c r="AZ86" s="488"/>
      <c r="BA86" s="488"/>
      <c r="BB86" s="488"/>
      <c r="BC86" s="488"/>
      <c r="BD86" s="488"/>
      <c r="BE86" s="488"/>
      <c r="BF86" s="488"/>
      <c r="BG86" s="488"/>
      <c r="BH86" s="488"/>
      <c r="BI86" s="488"/>
      <c r="BJ86" s="488"/>
      <c r="BK86" s="488"/>
      <c r="BL86" s="488"/>
      <c r="BM86" s="488"/>
      <c r="BN86" s="488"/>
      <c r="BO86" s="488"/>
      <c r="BP86" s="488"/>
      <c r="BQ86" s="488"/>
      <c r="BR86" s="488"/>
      <c r="BS86" s="488"/>
      <c r="BT86" s="488"/>
      <c r="BU86" s="488"/>
      <c r="BV86" s="488"/>
      <c r="BW86" s="488"/>
      <c r="BX86" s="488"/>
      <c r="BY86" s="488"/>
      <c r="BZ86" s="488"/>
      <c r="CA86" s="488"/>
      <c r="CB86" s="488"/>
      <c r="CC86" s="488"/>
      <c r="CD86" s="488"/>
      <c r="CE86" s="488"/>
      <c r="CF86" s="488"/>
      <c r="CG86" s="488"/>
      <c r="CH86" s="488"/>
      <c r="CI86" s="488"/>
      <c r="CJ86" s="488"/>
      <c r="CK86" s="488"/>
      <c r="CL86" s="488"/>
      <c r="CM86" s="488"/>
      <c r="CN86" s="488"/>
      <c r="CO86" s="488"/>
      <c r="CP86" s="488"/>
      <c r="CQ86" s="488"/>
      <c r="CR86" s="488"/>
      <c r="CS86" s="488"/>
      <c r="CT86" s="488"/>
      <c r="CU86" s="488"/>
      <c r="CV86" s="488"/>
      <c r="CW86" s="488"/>
      <c r="CX86" s="488"/>
      <c r="CY86" s="488"/>
      <c r="CZ86" s="488"/>
      <c r="DA86" s="488"/>
      <c r="DB86" s="488"/>
      <c r="DC86" s="488"/>
      <c r="DD86" s="488"/>
      <c r="DE86" s="488"/>
      <c r="DF86" s="488"/>
      <c r="DG86" s="488"/>
      <c r="DH86" s="488"/>
      <c r="DI86" s="488"/>
      <c r="DJ86" s="488"/>
      <c r="DK86" s="488"/>
      <c r="DL86" s="488"/>
      <c r="DM86" s="488"/>
      <c r="DN86" s="488"/>
      <c r="DO86" s="488"/>
      <c r="DP86" s="488"/>
      <c r="DQ86" s="488"/>
      <c r="DR86" s="488"/>
      <c r="DS86" s="488"/>
      <c r="DT86" s="488"/>
      <c r="DU86" s="488"/>
      <c r="DV86" s="488"/>
      <c r="DW86" s="488"/>
      <c r="DX86" s="488"/>
      <c r="DY86" s="488"/>
      <c r="DZ86" s="488"/>
      <c r="EA86" s="488"/>
      <c r="EB86" s="488"/>
      <c r="EC86" s="488"/>
      <c r="ED86" s="488"/>
      <c r="EE86" s="488"/>
      <c r="EF86" s="488"/>
      <c r="EG86" s="488"/>
      <c r="EH86" s="488"/>
      <c r="EI86" s="488"/>
      <c r="EJ86" s="488"/>
      <c r="EK86" s="488"/>
      <c r="EL86" s="488"/>
      <c r="EM86" s="488"/>
      <c r="EN86" s="488"/>
      <c r="EO86" s="488"/>
      <c r="EP86" s="488"/>
      <c r="EQ86" s="488"/>
      <c r="ER86" s="488"/>
      <c r="ES86" s="488"/>
      <c r="ET86" s="488"/>
      <c r="EU86" s="488"/>
      <c r="EV86" s="488"/>
    </row>
    <row r="87" spans="1:152" s="496" customFormat="1" ht="13.5" customHeight="1">
      <c r="A87" s="53"/>
      <c r="B87" s="488"/>
      <c r="C87" s="488"/>
      <c r="D87" s="488"/>
      <c r="E87" s="488"/>
      <c r="F87" s="488"/>
      <c r="G87" s="488"/>
      <c r="H87" s="488"/>
      <c r="I87" s="488"/>
      <c r="J87" s="488"/>
      <c r="K87" s="488"/>
      <c r="L87" s="488"/>
      <c r="M87" s="488"/>
      <c r="N87" s="488"/>
      <c r="O87" s="488"/>
      <c r="P87" s="488"/>
      <c r="Q87" s="488"/>
      <c r="R87" s="488"/>
      <c r="S87" s="488"/>
      <c r="T87" s="488"/>
      <c r="U87" s="488"/>
      <c r="V87" s="489"/>
      <c r="W87" s="488"/>
      <c r="X87" s="488"/>
      <c r="Y87" s="488"/>
      <c r="Z87" s="488"/>
      <c r="AA87" s="488"/>
      <c r="AB87" s="488"/>
      <c r="AC87" s="488"/>
      <c r="AD87" s="488"/>
      <c r="AE87" s="488"/>
      <c r="AF87" s="489"/>
      <c r="AG87" s="488"/>
      <c r="AH87" s="488"/>
      <c r="AI87" s="488"/>
      <c r="AJ87" s="488"/>
      <c r="AK87" s="488"/>
      <c r="AL87" s="488"/>
      <c r="AM87" s="488"/>
      <c r="AN87" s="488"/>
      <c r="AO87" s="488"/>
      <c r="AP87" s="488"/>
      <c r="AQ87" s="488"/>
      <c r="AR87" s="488"/>
      <c r="AS87" s="488"/>
      <c r="AT87" s="488"/>
      <c r="AU87" s="488"/>
      <c r="AV87" s="488"/>
      <c r="AW87" s="488"/>
      <c r="AX87" s="488"/>
      <c r="AY87" s="488"/>
      <c r="AZ87" s="488"/>
      <c r="BA87" s="488"/>
      <c r="BB87" s="488"/>
      <c r="BC87" s="488"/>
      <c r="BD87" s="488"/>
      <c r="BE87" s="488"/>
      <c r="BF87" s="488"/>
      <c r="BG87" s="488"/>
      <c r="BH87" s="488"/>
      <c r="BI87" s="488"/>
      <c r="BJ87" s="488"/>
      <c r="BK87" s="488"/>
      <c r="BL87" s="488"/>
      <c r="BM87" s="488"/>
      <c r="BN87" s="488"/>
      <c r="BO87" s="488"/>
      <c r="BP87" s="488"/>
      <c r="BQ87" s="488"/>
      <c r="BR87" s="488"/>
      <c r="BS87" s="488"/>
      <c r="BT87" s="488"/>
      <c r="BU87" s="488"/>
      <c r="BV87" s="488"/>
      <c r="BW87" s="488"/>
      <c r="BX87" s="488"/>
      <c r="BY87" s="488"/>
      <c r="BZ87" s="488"/>
      <c r="CA87" s="488"/>
      <c r="CB87" s="488"/>
      <c r="CC87" s="488"/>
      <c r="CD87" s="488"/>
      <c r="CE87" s="488"/>
      <c r="CF87" s="488"/>
      <c r="CG87" s="488"/>
      <c r="CH87" s="488"/>
      <c r="CI87" s="488"/>
      <c r="CJ87" s="488"/>
      <c r="CK87" s="488"/>
      <c r="CL87" s="488"/>
      <c r="CM87" s="488"/>
      <c r="CN87" s="488"/>
      <c r="CO87" s="488"/>
      <c r="CP87" s="488"/>
      <c r="CQ87" s="488"/>
      <c r="CR87" s="488"/>
      <c r="CS87" s="488"/>
      <c r="CT87" s="488"/>
      <c r="CU87" s="488"/>
      <c r="CV87" s="488"/>
      <c r="CW87" s="488"/>
      <c r="CX87" s="488"/>
      <c r="CY87" s="488"/>
      <c r="CZ87" s="488"/>
      <c r="DA87" s="488"/>
      <c r="DB87" s="488"/>
      <c r="DC87" s="488"/>
      <c r="DD87" s="488"/>
      <c r="DE87" s="488"/>
      <c r="DF87" s="488"/>
      <c r="DG87" s="488"/>
      <c r="DH87" s="488"/>
      <c r="DI87" s="488"/>
      <c r="DJ87" s="488"/>
      <c r="DK87" s="488"/>
      <c r="DL87" s="488"/>
      <c r="DM87" s="488"/>
      <c r="DN87" s="488"/>
      <c r="DO87" s="488"/>
      <c r="DP87" s="488"/>
      <c r="DQ87" s="488"/>
      <c r="DR87" s="488"/>
      <c r="DS87" s="488"/>
      <c r="DT87" s="488"/>
      <c r="DU87" s="488"/>
      <c r="DV87" s="488"/>
      <c r="DW87" s="488"/>
      <c r="DX87" s="488"/>
      <c r="DY87" s="488"/>
      <c r="DZ87" s="488"/>
      <c r="EA87" s="488"/>
      <c r="EB87" s="488"/>
      <c r="EC87" s="488"/>
      <c r="ED87" s="488"/>
      <c r="EE87" s="488"/>
      <c r="EF87" s="488"/>
      <c r="EG87" s="488"/>
      <c r="EH87" s="488"/>
      <c r="EI87" s="488"/>
      <c r="EJ87" s="488"/>
      <c r="EK87" s="488"/>
      <c r="EL87" s="488"/>
      <c r="EM87" s="488"/>
      <c r="EN87" s="488"/>
      <c r="EO87" s="488"/>
      <c r="EP87" s="488"/>
      <c r="EQ87" s="488"/>
      <c r="ER87" s="488"/>
      <c r="ES87" s="488"/>
      <c r="ET87" s="488"/>
      <c r="EU87" s="488"/>
      <c r="EV87" s="488"/>
    </row>
    <row r="88" spans="1:152" s="496" customFormat="1" ht="13.5" customHeight="1">
      <c r="A88" s="53"/>
      <c r="B88" s="488"/>
      <c r="C88" s="488"/>
      <c r="D88" s="488"/>
      <c r="E88" s="488"/>
      <c r="F88" s="488"/>
      <c r="G88" s="488"/>
      <c r="H88" s="488"/>
      <c r="I88" s="488"/>
      <c r="J88" s="488"/>
      <c r="K88" s="488"/>
      <c r="L88" s="488"/>
      <c r="M88" s="488"/>
      <c r="N88" s="488"/>
      <c r="O88" s="488"/>
      <c r="P88" s="488"/>
      <c r="Q88" s="488"/>
      <c r="R88" s="488"/>
      <c r="S88" s="488"/>
      <c r="T88" s="488"/>
      <c r="U88" s="488"/>
      <c r="V88" s="489"/>
      <c r="W88" s="488"/>
      <c r="X88" s="488"/>
      <c r="Y88" s="488"/>
      <c r="Z88" s="488"/>
      <c r="AA88" s="488"/>
      <c r="AB88" s="488"/>
      <c r="AC88" s="488"/>
      <c r="AD88" s="488"/>
      <c r="AE88" s="488"/>
      <c r="AF88" s="489"/>
      <c r="AG88" s="488"/>
      <c r="AH88" s="488"/>
      <c r="AI88" s="488"/>
      <c r="AJ88" s="488"/>
      <c r="AK88" s="488"/>
      <c r="AL88" s="488"/>
      <c r="AM88" s="488"/>
      <c r="AN88" s="488"/>
      <c r="AO88" s="488"/>
      <c r="AP88" s="488"/>
      <c r="AQ88" s="488"/>
      <c r="AR88" s="488"/>
      <c r="AS88" s="488"/>
      <c r="AT88" s="488"/>
      <c r="AU88" s="488"/>
      <c r="AV88" s="488"/>
      <c r="AW88" s="488"/>
      <c r="AX88" s="488"/>
      <c r="AY88" s="488"/>
      <c r="AZ88" s="488"/>
      <c r="BA88" s="488"/>
      <c r="BB88" s="488"/>
      <c r="BC88" s="488"/>
      <c r="BD88" s="488"/>
      <c r="BE88" s="488"/>
      <c r="BF88" s="488"/>
      <c r="BG88" s="488"/>
      <c r="BH88" s="488"/>
      <c r="BI88" s="488"/>
      <c r="BJ88" s="488"/>
      <c r="BK88" s="488"/>
      <c r="BL88" s="488"/>
      <c r="BM88" s="488"/>
      <c r="BN88" s="488"/>
      <c r="BO88" s="488"/>
      <c r="BP88" s="488"/>
      <c r="BQ88" s="488"/>
      <c r="BR88" s="488"/>
      <c r="BS88" s="488"/>
      <c r="BT88" s="488"/>
      <c r="BU88" s="488"/>
      <c r="BV88" s="488"/>
      <c r="BW88" s="488"/>
      <c r="BX88" s="488"/>
      <c r="BY88" s="488"/>
      <c r="BZ88" s="488"/>
      <c r="CA88" s="488"/>
      <c r="CB88" s="488"/>
      <c r="CC88" s="488"/>
      <c r="CD88" s="488"/>
      <c r="CE88" s="488"/>
      <c r="CF88" s="488"/>
      <c r="CG88" s="488"/>
      <c r="CH88" s="488"/>
      <c r="CI88" s="488"/>
      <c r="CJ88" s="488"/>
      <c r="CK88" s="488"/>
      <c r="CL88" s="488"/>
      <c r="CM88" s="488"/>
      <c r="CN88" s="488"/>
      <c r="CO88" s="488"/>
      <c r="CP88" s="488"/>
      <c r="CQ88" s="488"/>
      <c r="CR88" s="488"/>
      <c r="CS88" s="488"/>
      <c r="CT88" s="488"/>
      <c r="CU88" s="488"/>
      <c r="CV88" s="488"/>
      <c r="CW88" s="488"/>
      <c r="CX88" s="488"/>
      <c r="CY88" s="488"/>
      <c r="CZ88" s="488"/>
      <c r="DA88" s="488"/>
      <c r="DB88" s="488"/>
      <c r="DC88" s="488"/>
      <c r="DD88" s="488"/>
      <c r="DE88" s="488"/>
      <c r="DF88" s="488"/>
      <c r="DG88" s="488"/>
      <c r="DH88" s="488"/>
      <c r="DI88" s="488"/>
      <c r="DJ88" s="488"/>
      <c r="DK88" s="488"/>
      <c r="DL88" s="488"/>
      <c r="DM88" s="488"/>
      <c r="DN88" s="488"/>
      <c r="DO88" s="488"/>
      <c r="DP88" s="488"/>
      <c r="DQ88" s="488"/>
      <c r="DR88" s="488"/>
      <c r="DS88" s="488"/>
      <c r="DT88" s="488"/>
      <c r="DU88" s="488"/>
      <c r="DV88" s="488"/>
      <c r="DW88" s="488"/>
      <c r="DX88" s="488"/>
      <c r="DY88" s="488"/>
      <c r="DZ88" s="488"/>
      <c r="EA88" s="488"/>
      <c r="EB88" s="488"/>
      <c r="EC88" s="488"/>
      <c r="ED88" s="488"/>
      <c r="EE88" s="488"/>
      <c r="EF88" s="488"/>
      <c r="EG88" s="488"/>
      <c r="EH88" s="488"/>
      <c r="EI88" s="488"/>
      <c r="EJ88" s="488"/>
      <c r="EK88" s="488"/>
      <c r="EL88" s="488"/>
      <c r="EM88" s="488"/>
      <c r="EN88" s="488"/>
      <c r="EO88" s="488"/>
      <c r="EP88" s="488"/>
      <c r="EQ88" s="488"/>
      <c r="ER88" s="488"/>
      <c r="ES88" s="488"/>
      <c r="ET88" s="488"/>
      <c r="EU88" s="488"/>
      <c r="EV88" s="488"/>
    </row>
    <row r="89" spans="1:152" s="496" customFormat="1" ht="13.5" customHeight="1">
      <c r="A89" s="53"/>
      <c r="B89" s="488"/>
      <c r="C89" s="488"/>
      <c r="D89" s="488"/>
      <c r="E89" s="488"/>
      <c r="F89" s="488"/>
      <c r="G89" s="488"/>
      <c r="H89" s="488"/>
      <c r="I89" s="488"/>
      <c r="J89" s="488"/>
      <c r="K89" s="488"/>
      <c r="L89" s="488"/>
      <c r="M89" s="488"/>
      <c r="N89" s="488"/>
      <c r="O89" s="488"/>
      <c r="P89" s="488"/>
      <c r="Q89" s="488"/>
      <c r="R89" s="488"/>
      <c r="S89" s="488"/>
      <c r="T89" s="488"/>
      <c r="U89" s="488"/>
      <c r="V89" s="489"/>
      <c r="W89" s="488"/>
      <c r="X89" s="488"/>
      <c r="Y89" s="488"/>
      <c r="Z89" s="488"/>
      <c r="AA89" s="488"/>
      <c r="AB89" s="488"/>
      <c r="AC89" s="488"/>
      <c r="AD89" s="488"/>
      <c r="AE89" s="488"/>
      <c r="AF89" s="489"/>
      <c r="AG89" s="488"/>
      <c r="AH89" s="488"/>
      <c r="AI89" s="488"/>
      <c r="AJ89" s="488"/>
      <c r="AK89" s="488"/>
      <c r="AL89" s="488"/>
      <c r="AM89" s="488"/>
      <c r="AN89" s="488"/>
      <c r="AO89" s="488"/>
      <c r="AP89" s="488"/>
      <c r="AQ89" s="488"/>
      <c r="AR89" s="488"/>
      <c r="AS89" s="488"/>
      <c r="AT89" s="488"/>
      <c r="AU89" s="488"/>
      <c r="AV89" s="488"/>
      <c r="AW89" s="488"/>
      <c r="AX89" s="488"/>
      <c r="AY89" s="488"/>
      <c r="AZ89" s="488"/>
      <c r="BA89" s="488"/>
      <c r="BB89" s="488"/>
      <c r="BC89" s="488"/>
      <c r="BD89" s="488"/>
      <c r="BE89" s="488"/>
      <c r="BF89" s="488"/>
      <c r="BG89" s="488"/>
      <c r="BH89" s="488"/>
      <c r="BI89" s="488"/>
      <c r="BJ89" s="488"/>
      <c r="BK89" s="488"/>
      <c r="BL89" s="488"/>
      <c r="BM89" s="488"/>
      <c r="BN89" s="488"/>
      <c r="BO89" s="488"/>
      <c r="BP89" s="488"/>
      <c r="BQ89" s="488"/>
      <c r="BR89" s="488"/>
      <c r="BS89" s="488"/>
      <c r="BT89" s="488"/>
      <c r="BU89" s="488"/>
      <c r="BV89" s="488"/>
      <c r="BW89" s="488"/>
      <c r="BX89" s="488"/>
      <c r="BY89" s="488"/>
      <c r="BZ89" s="488"/>
      <c r="CA89" s="488"/>
      <c r="CB89" s="488"/>
      <c r="CC89" s="488"/>
      <c r="CD89" s="488"/>
      <c r="CE89" s="488"/>
      <c r="CF89" s="488"/>
      <c r="CG89" s="488"/>
      <c r="CH89" s="488"/>
      <c r="CI89" s="488"/>
      <c r="CJ89" s="488"/>
      <c r="CK89" s="488"/>
      <c r="CL89" s="488"/>
      <c r="CM89" s="488"/>
      <c r="CN89" s="488"/>
      <c r="CO89" s="488"/>
      <c r="CP89" s="488"/>
      <c r="CQ89" s="488"/>
      <c r="CR89" s="488"/>
      <c r="CS89" s="488"/>
      <c r="CT89" s="488"/>
      <c r="CU89" s="488"/>
      <c r="CV89" s="488"/>
      <c r="CW89" s="488"/>
      <c r="CX89" s="488"/>
      <c r="CY89" s="488"/>
      <c r="CZ89" s="488"/>
      <c r="DA89" s="488"/>
      <c r="DB89" s="488"/>
      <c r="DC89" s="488"/>
      <c r="DD89" s="488"/>
      <c r="DE89" s="488"/>
      <c r="DF89" s="488"/>
      <c r="DG89" s="488"/>
      <c r="DH89" s="488"/>
      <c r="DI89" s="488"/>
      <c r="DJ89" s="488"/>
      <c r="DK89" s="488"/>
      <c r="DL89" s="488"/>
      <c r="DM89" s="488"/>
      <c r="DN89" s="488"/>
      <c r="DO89" s="488"/>
      <c r="DP89" s="488"/>
      <c r="DQ89" s="488"/>
      <c r="DR89" s="488"/>
      <c r="DS89" s="488"/>
      <c r="DT89" s="488"/>
      <c r="DU89" s="488"/>
      <c r="DV89" s="488"/>
      <c r="DW89" s="488"/>
      <c r="DX89" s="488"/>
      <c r="DY89" s="488"/>
      <c r="DZ89" s="488"/>
      <c r="EA89" s="488"/>
      <c r="EB89" s="488"/>
      <c r="EC89" s="488"/>
      <c r="ED89" s="488"/>
      <c r="EE89" s="488"/>
      <c r="EF89" s="488"/>
      <c r="EG89" s="488"/>
      <c r="EH89" s="488"/>
      <c r="EI89" s="488"/>
      <c r="EJ89" s="488"/>
      <c r="EK89" s="488"/>
      <c r="EL89" s="488"/>
      <c r="EM89" s="488"/>
      <c r="EN89" s="488"/>
      <c r="EO89" s="488"/>
      <c r="EP89" s="488"/>
      <c r="EQ89" s="488"/>
      <c r="ER89" s="488"/>
      <c r="ES89" s="488"/>
      <c r="ET89" s="488"/>
      <c r="EU89" s="488"/>
      <c r="EV89" s="488"/>
    </row>
    <row r="90" spans="1:152" s="496" customFormat="1" ht="13.5" customHeight="1">
      <c r="A90" s="53"/>
      <c r="B90" s="488"/>
      <c r="C90" s="488"/>
      <c r="D90" s="488"/>
      <c r="E90" s="488"/>
      <c r="F90" s="488"/>
      <c r="G90" s="488"/>
      <c r="H90" s="488"/>
      <c r="I90" s="488"/>
      <c r="J90" s="488"/>
      <c r="K90" s="488"/>
      <c r="L90" s="488"/>
      <c r="M90" s="488"/>
      <c r="N90" s="488"/>
      <c r="O90" s="488"/>
      <c r="P90" s="488"/>
      <c r="Q90" s="488"/>
      <c r="R90" s="488"/>
      <c r="S90" s="488"/>
      <c r="T90" s="488"/>
      <c r="U90" s="488"/>
      <c r="V90" s="489"/>
      <c r="W90" s="488"/>
      <c r="X90" s="488"/>
      <c r="Y90" s="488"/>
      <c r="Z90" s="488"/>
      <c r="AA90" s="488"/>
      <c r="AB90" s="488"/>
      <c r="AC90" s="488"/>
      <c r="AD90" s="488"/>
      <c r="AE90" s="488"/>
      <c r="AF90" s="489"/>
      <c r="AG90" s="488"/>
      <c r="AH90" s="488"/>
      <c r="AI90" s="488"/>
      <c r="AJ90" s="488"/>
      <c r="AK90" s="488"/>
      <c r="AL90" s="488"/>
      <c r="AM90" s="488"/>
      <c r="AN90" s="488"/>
      <c r="AO90" s="488"/>
      <c r="AP90" s="488"/>
      <c r="AQ90" s="488"/>
      <c r="AR90" s="488"/>
      <c r="AS90" s="488"/>
      <c r="AT90" s="488"/>
      <c r="AU90" s="488"/>
      <c r="AV90" s="488"/>
      <c r="AW90" s="488"/>
      <c r="AX90" s="488"/>
      <c r="AY90" s="488"/>
      <c r="AZ90" s="488"/>
      <c r="BA90" s="488"/>
      <c r="BB90" s="488"/>
      <c r="BC90" s="488"/>
      <c r="BD90" s="488"/>
      <c r="BE90" s="488"/>
      <c r="BF90" s="488"/>
      <c r="BG90" s="488"/>
      <c r="BH90" s="488"/>
      <c r="BI90" s="488"/>
      <c r="BJ90" s="488"/>
      <c r="BK90" s="488"/>
      <c r="BL90" s="488"/>
      <c r="BM90" s="488"/>
      <c r="BN90" s="488"/>
      <c r="BO90" s="488"/>
      <c r="BP90" s="488"/>
      <c r="BQ90" s="488"/>
      <c r="BR90" s="488"/>
      <c r="BS90" s="488"/>
      <c r="BT90" s="488"/>
      <c r="BU90" s="488"/>
      <c r="BV90" s="488"/>
      <c r="BW90" s="488"/>
      <c r="BX90" s="488"/>
      <c r="BY90" s="488"/>
      <c r="BZ90" s="488"/>
      <c r="CA90" s="488"/>
      <c r="CB90" s="488"/>
      <c r="CC90" s="488"/>
      <c r="CD90" s="488"/>
      <c r="CE90" s="488"/>
      <c r="CF90" s="488"/>
      <c r="CG90" s="488"/>
      <c r="CH90" s="488"/>
      <c r="CI90" s="488"/>
      <c r="CJ90" s="488"/>
      <c r="CK90" s="488"/>
      <c r="CL90" s="488"/>
      <c r="CM90" s="488"/>
      <c r="CN90" s="488"/>
      <c r="CO90" s="488"/>
      <c r="CP90" s="488"/>
      <c r="CQ90" s="488"/>
      <c r="CR90" s="488"/>
      <c r="CS90" s="488"/>
      <c r="CT90" s="488"/>
      <c r="CU90" s="488"/>
      <c r="CV90" s="488"/>
      <c r="CW90" s="488"/>
      <c r="CX90" s="488"/>
      <c r="CY90" s="488"/>
      <c r="CZ90" s="488"/>
      <c r="DA90" s="488"/>
      <c r="DB90" s="488"/>
      <c r="DC90" s="488"/>
      <c r="DD90" s="488"/>
      <c r="DE90" s="488"/>
      <c r="DF90" s="488"/>
      <c r="DG90" s="488"/>
      <c r="DH90" s="488"/>
      <c r="DI90" s="488"/>
      <c r="DJ90" s="488"/>
      <c r="DK90" s="488"/>
      <c r="DL90" s="488"/>
      <c r="DM90" s="488"/>
      <c r="DN90" s="488"/>
      <c r="DO90" s="488"/>
      <c r="DP90" s="488"/>
      <c r="DQ90" s="488"/>
      <c r="DR90" s="488"/>
      <c r="DS90" s="488"/>
      <c r="DT90" s="488"/>
      <c r="DU90" s="488"/>
      <c r="DV90" s="488"/>
      <c r="DW90" s="488"/>
      <c r="DX90" s="488"/>
      <c r="DY90" s="488"/>
      <c r="DZ90" s="488"/>
      <c r="EA90" s="488"/>
      <c r="EB90" s="488"/>
      <c r="EC90" s="488"/>
      <c r="ED90" s="488"/>
      <c r="EE90" s="488"/>
      <c r="EF90" s="488"/>
      <c r="EG90" s="488"/>
      <c r="EH90" s="488"/>
      <c r="EI90" s="488"/>
      <c r="EJ90" s="488"/>
      <c r="EK90" s="488"/>
      <c r="EL90" s="488"/>
      <c r="EM90" s="488"/>
      <c r="EN90" s="488"/>
      <c r="EO90" s="488"/>
      <c r="EP90" s="488"/>
      <c r="EQ90" s="488"/>
      <c r="ER90" s="488"/>
      <c r="ES90" s="488"/>
      <c r="ET90" s="488"/>
      <c r="EU90" s="488"/>
      <c r="EV90" s="488"/>
    </row>
    <row r="91" spans="1:152" s="496" customFormat="1" ht="13.5" customHeight="1">
      <c r="A91" s="53"/>
      <c r="B91" s="489"/>
      <c r="C91" s="489"/>
      <c r="D91" s="489"/>
      <c r="E91" s="489"/>
      <c r="F91" s="489"/>
      <c r="G91" s="489"/>
      <c r="H91" s="489"/>
      <c r="I91" s="489"/>
      <c r="J91" s="489"/>
      <c r="K91" s="489"/>
      <c r="L91" s="489"/>
      <c r="M91" s="489"/>
      <c r="N91" s="489"/>
      <c r="O91" s="489"/>
      <c r="P91" s="489"/>
      <c r="Q91" s="489"/>
      <c r="R91" s="489"/>
      <c r="S91" s="489"/>
      <c r="T91" s="489"/>
      <c r="U91" s="489"/>
      <c r="V91" s="489"/>
      <c r="W91" s="488"/>
      <c r="X91" s="488"/>
      <c r="Y91" s="488"/>
      <c r="Z91" s="488"/>
      <c r="AA91" s="488"/>
      <c r="AB91" s="488"/>
      <c r="AC91" s="488"/>
      <c r="AD91" s="488"/>
      <c r="AE91" s="488"/>
      <c r="AF91" s="489"/>
      <c r="AG91" s="488"/>
      <c r="AH91" s="488"/>
      <c r="AI91" s="488"/>
      <c r="AJ91" s="488"/>
      <c r="AK91" s="488"/>
      <c r="AL91" s="488"/>
      <c r="AM91" s="488"/>
      <c r="AN91" s="488"/>
      <c r="AO91" s="488"/>
      <c r="AP91" s="489"/>
      <c r="AQ91" s="488"/>
      <c r="AR91" s="488"/>
      <c r="AS91" s="488"/>
      <c r="AT91" s="488"/>
      <c r="AU91" s="488"/>
      <c r="AV91" s="488"/>
      <c r="AW91" s="488"/>
      <c r="AX91" s="488"/>
      <c r="AY91" s="488"/>
      <c r="AZ91" s="489"/>
      <c r="BA91" s="488"/>
      <c r="BB91" s="488"/>
      <c r="BC91" s="488"/>
      <c r="BD91" s="488"/>
      <c r="BE91" s="488"/>
      <c r="BF91" s="488"/>
      <c r="BG91" s="488"/>
      <c r="BH91" s="488"/>
      <c r="BI91" s="488"/>
      <c r="BJ91" s="489"/>
      <c r="BK91" s="488"/>
      <c r="BL91" s="488"/>
      <c r="BM91" s="488"/>
      <c r="BN91" s="488"/>
      <c r="BO91" s="488"/>
      <c r="BP91" s="488"/>
      <c r="BQ91" s="488"/>
      <c r="BR91" s="488"/>
      <c r="BS91" s="488"/>
      <c r="BT91" s="489"/>
      <c r="BU91" s="488"/>
      <c r="BV91" s="488"/>
      <c r="BW91" s="488"/>
      <c r="BX91" s="488"/>
      <c r="BY91" s="488"/>
      <c r="BZ91" s="488"/>
      <c r="CA91" s="488"/>
      <c r="CB91" s="488"/>
      <c r="CC91" s="488"/>
      <c r="CD91" s="488"/>
      <c r="CE91" s="488"/>
      <c r="CF91" s="488"/>
      <c r="CG91" s="488"/>
      <c r="CH91" s="488"/>
      <c r="CI91" s="488"/>
      <c r="CJ91" s="488"/>
      <c r="CK91" s="488"/>
      <c r="CL91" s="488"/>
      <c r="CM91" s="488"/>
      <c r="CN91" s="488"/>
      <c r="CO91" s="488"/>
      <c r="CP91" s="488"/>
      <c r="CQ91" s="488"/>
      <c r="CR91" s="488"/>
      <c r="CS91" s="488"/>
      <c r="CT91" s="488"/>
      <c r="CU91" s="488"/>
      <c r="CV91" s="488"/>
      <c r="CW91" s="488"/>
      <c r="CX91" s="488"/>
      <c r="CY91" s="488"/>
      <c r="CZ91" s="488"/>
      <c r="DA91" s="488"/>
      <c r="DB91" s="488"/>
      <c r="DC91" s="488"/>
      <c r="DD91" s="488"/>
      <c r="DE91" s="488"/>
      <c r="DF91" s="488"/>
      <c r="DG91" s="488"/>
      <c r="DH91" s="488"/>
      <c r="DI91" s="488"/>
      <c r="DJ91" s="488"/>
      <c r="DK91" s="488"/>
      <c r="DL91" s="488"/>
      <c r="DM91" s="488"/>
      <c r="DN91" s="488"/>
      <c r="DO91" s="488"/>
      <c r="DP91" s="488"/>
      <c r="DQ91" s="488"/>
      <c r="DR91" s="488"/>
      <c r="DS91" s="488"/>
      <c r="DT91" s="488"/>
      <c r="DU91" s="488"/>
      <c r="DV91" s="488"/>
      <c r="DW91" s="488"/>
      <c r="DX91" s="488"/>
      <c r="DY91" s="488"/>
      <c r="DZ91" s="488"/>
      <c r="EA91" s="488"/>
      <c r="EB91" s="488"/>
      <c r="EC91" s="488"/>
      <c r="ED91" s="488"/>
      <c r="EE91" s="488"/>
      <c r="EF91" s="488"/>
      <c r="EG91" s="488"/>
      <c r="EH91" s="488"/>
      <c r="EI91" s="488"/>
      <c r="EJ91" s="488"/>
      <c r="EK91" s="488"/>
      <c r="EL91" s="488"/>
      <c r="EM91" s="488"/>
      <c r="EN91" s="488"/>
      <c r="EO91" s="488"/>
      <c r="EP91" s="488"/>
      <c r="EQ91" s="488"/>
      <c r="ER91" s="488"/>
      <c r="ES91" s="488"/>
      <c r="ET91" s="488"/>
      <c r="EU91" s="488"/>
      <c r="EV91" s="488"/>
    </row>
    <row r="92" spans="1:152" s="496" customFormat="1" ht="13.5" customHeight="1">
      <c r="A92" s="53"/>
      <c r="B92" s="489"/>
      <c r="C92" s="489"/>
      <c r="D92" s="489"/>
      <c r="E92" s="489"/>
      <c r="F92" s="489"/>
      <c r="G92" s="489"/>
      <c r="H92" s="489"/>
      <c r="I92" s="489"/>
      <c r="J92" s="489"/>
      <c r="K92" s="489"/>
      <c r="L92" s="489"/>
      <c r="M92" s="489"/>
      <c r="N92" s="489"/>
      <c r="O92" s="489"/>
      <c r="P92" s="489"/>
      <c r="Q92" s="489"/>
      <c r="R92" s="489"/>
      <c r="S92" s="489"/>
      <c r="T92" s="489"/>
      <c r="U92" s="489"/>
      <c r="V92" s="489"/>
      <c r="W92" s="488"/>
      <c r="X92" s="488"/>
      <c r="Y92" s="488"/>
      <c r="Z92" s="488"/>
      <c r="AA92" s="488"/>
      <c r="AB92" s="488"/>
      <c r="AC92" s="488"/>
      <c r="AD92" s="488"/>
      <c r="AE92" s="488"/>
      <c r="AF92" s="489"/>
      <c r="AG92" s="488"/>
      <c r="AH92" s="488"/>
      <c r="AI92" s="488"/>
      <c r="AJ92" s="488"/>
      <c r="AK92" s="488"/>
      <c r="AL92" s="488"/>
      <c r="AM92" s="488"/>
      <c r="AN92" s="488"/>
      <c r="AO92" s="488"/>
      <c r="AP92" s="489"/>
      <c r="AQ92" s="488"/>
      <c r="AR92" s="488"/>
      <c r="AS92" s="488"/>
      <c r="AT92" s="488"/>
      <c r="AU92" s="488"/>
      <c r="AV92" s="488"/>
      <c r="AW92" s="488"/>
      <c r="AX92" s="488"/>
      <c r="AY92" s="488"/>
      <c r="AZ92" s="489"/>
      <c r="BA92" s="488"/>
      <c r="BB92" s="488"/>
      <c r="BC92" s="488"/>
      <c r="BD92" s="488"/>
      <c r="BE92" s="488"/>
      <c r="BF92" s="488"/>
      <c r="BG92" s="488"/>
      <c r="BH92" s="488"/>
      <c r="BI92" s="488"/>
      <c r="BJ92" s="489"/>
      <c r="BK92" s="488"/>
      <c r="BL92" s="488"/>
      <c r="BM92" s="488"/>
      <c r="BN92" s="488"/>
      <c r="BO92" s="488"/>
      <c r="BP92" s="488"/>
      <c r="BQ92" s="488"/>
      <c r="BR92" s="488"/>
      <c r="BS92" s="488"/>
      <c r="BT92" s="489"/>
      <c r="BU92" s="488"/>
      <c r="BV92" s="488"/>
      <c r="BW92" s="488"/>
      <c r="BX92" s="488"/>
      <c r="BY92" s="488"/>
      <c r="BZ92" s="488"/>
      <c r="CA92" s="488"/>
      <c r="CB92" s="488"/>
      <c r="CC92" s="488"/>
      <c r="CD92" s="488"/>
      <c r="CE92" s="488"/>
      <c r="CF92" s="488"/>
      <c r="CG92" s="488"/>
      <c r="CH92" s="488"/>
      <c r="CI92" s="488"/>
      <c r="CJ92" s="488"/>
      <c r="CK92" s="488"/>
      <c r="CL92" s="488"/>
      <c r="CM92" s="488"/>
      <c r="CN92" s="488"/>
      <c r="CO92" s="488"/>
      <c r="CP92" s="488"/>
      <c r="CQ92" s="488"/>
      <c r="CR92" s="488"/>
      <c r="CS92" s="488"/>
      <c r="CT92" s="488"/>
      <c r="CU92" s="488"/>
      <c r="CV92" s="488"/>
      <c r="CW92" s="488"/>
      <c r="CX92" s="488"/>
      <c r="CY92" s="488"/>
      <c r="CZ92" s="488"/>
      <c r="DA92" s="488"/>
      <c r="DB92" s="488"/>
      <c r="DC92" s="488"/>
      <c r="DD92" s="488"/>
      <c r="DE92" s="488"/>
      <c r="DF92" s="488"/>
      <c r="DG92" s="488"/>
      <c r="DH92" s="488"/>
      <c r="DI92" s="488"/>
      <c r="DJ92" s="488"/>
      <c r="DK92" s="488"/>
      <c r="DL92" s="488"/>
      <c r="DM92" s="488"/>
      <c r="DN92" s="488"/>
      <c r="DO92" s="488"/>
      <c r="DP92" s="488"/>
      <c r="DQ92" s="488"/>
      <c r="DR92" s="488"/>
      <c r="DS92" s="488"/>
      <c r="DT92" s="488"/>
      <c r="DU92" s="488"/>
      <c r="DV92" s="488"/>
      <c r="DW92" s="488"/>
      <c r="DX92" s="488"/>
      <c r="DY92" s="488"/>
      <c r="DZ92" s="488"/>
      <c r="EA92" s="488"/>
      <c r="EB92" s="488"/>
      <c r="EC92" s="488"/>
      <c r="ED92" s="488"/>
      <c r="EE92" s="488"/>
      <c r="EF92" s="488"/>
      <c r="EG92" s="488"/>
      <c r="EH92" s="488"/>
      <c r="EI92" s="488"/>
      <c r="EJ92" s="488"/>
      <c r="EK92" s="488"/>
      <c r="EL92" s="488"/>
      <c r="EM92" s="488"/>
      <c r="EN92" s="488"/>
      <c r="EO92" s="488"/>
      <c r="EP92" s="488"/>
      <c r="EQ92" s="488"/>
      <c r="ER92" s="488"/>
      <c r="ES92" s="488"/>
      <c r="ET92" s="488"/>
      <c r="EU92" s="488"/>
      <c r="EV92" s="488"/>
    </row>
    <row r="93" spans="1:152" s="496" customFormat="1" ht="13.5" customHeight="1">
      <c r="A93" s="53"/>
      <c r="B93" s="489"/>
      <c r="C93" s="489"/>
      <c r="D93" s="489"/>
      <c r="E93" s="489"/>
      <c r="F93" s="489"/>
      <c r="G93" s="489"/>
      <c r="H93" s="489"/>
      <c r="I93" s="489"/>
      <c r="J93" s="489"/>
      <c r="K93" s="489"/>
      <c r="L93" s="489"/>
      <c r="M93" s="489"/>
      <c r="N93" s="489"/>
      <c r="O93" s="489"/>
      <c r="P93" s="489"/>
      <c r="Q93" s="489"/>
      <c r="R93" s="489"/>
      <c r="S93" s="489"/>
      <c r="T93" s="489"/>
      <c r="U93" s="489"/>
      <c r="V93" s="489"/>
      <c r="W93" s="488"/>
      <c r="X93" s="488"/>
      <c r="Y93" s="488"/>
      <c r="Z93" s="488"/>
      <c r="AA93" s="488"/>
      <c r="AB93" s="488"/>
      <c r="AC93" s="488"/>
      <c r="AD93" s="488"/>
      <c r="AE93" s="488"/>
      <c r="AF93" s="489"/>
      <c r="AG93" s="488"/>
      <c r="AH93" s="488"/>
      <c r="AI93" s="488"/>
      <c r="AJ93" s="488"/>
      <c r="AK93" s="488"/>
      <c r="AL93" s="488"/>
      <c r="AM93" s="488"/>
      <c r="AN93" s="488"/>
      <c r="AO93" s="488"/>
      <c r="AP93" s="489"/>
      <c r="AQ93" s="488"/>
      <c r="AR93" s="488"/>
      <c r="AS93" s="488"/>
      <c r="AT93" s="488"/>
      <c r="AU93" s="488"/>
      <c r="AV93" s="488"/>
      <c r="AW93" s="488"/>
      <c r="AX93" s="488"/>
      <c r="AY93" s="488"/>
      <c r="AZ93" s="489"/>
      <c r="BA93" s="488"/>
      <c r="BB93" s="488"/>
      <c r="BC93" s="488"/>
      <c r="BD93" s="488"/>
      <c r="BE93" s="488"/>
      <c r="BF93" s="488"/>
      <c r="BG93" s="488"/>
      <c r="BH93" s="488"/>
      <c r="BI93" s="488"/>
      <c r="BJ93" s="489"/>
      <c r="BK93" s="488"/>
      <c r="BL93" s="488"/>
      <c r="BM93" s="488"/>
      <c r="BN93" s="488"/>
      <c r="BO93" s="488"/>
      <c r="BP93" s="488"/>
      <c r="BQ93" s="488"/>
      <c r="BR93" s="488"/>
      <c r="BS93" s="488"/>
      <c r="BT93" s="489"/>
      <c r="BU93" s="488"/>
      <c r="BV93" s="488"/>
      <c r="BW93" s="488"/>
      <c r="BX93" s="488"/>
      <c r="BY93" s="488"/>
      <c r="BZ93" s="488"/>
      <c r="CA93" s="488"/>
      <c r="CB93" s="488"/>
      <c r="CC93" s="488"/>
      <c r="CD93" s="489"/>
      <c r="CE93" s="488"/>
      <c r="CF93" s="488"/>
      <c r="CG93" s="488"/>
      <c r="CH93" s="488"/>
      <c r="CI93" s="488"/>
      <c r="CJ93" s="488"/>
      <c r="CK93" s="488"/>
      <c r="CL93" s="488"/>
      <c r="CM93" s="488"/>
      <c r="CN93" s="489"/>
      <c r="CO93" s="488"/>
      <c r="CP93" s="488"/>
      <c r="CQ93" s="488"/>
      <c r="CR93" s="488"/>
      <c r="CS93" s="488"/>
      <c r="CT93" s="488"/>
      <c r="CU93" s="488"/>
      <c r="CV93" s="488"/>
      <c r="CW93" s="488"/>
      <c r="CX93" s="489"/>
      <c r="CY93" s="488"/>
      <c r="CZ93" s="488"/>
      <c r="DA93" s="488"/>
      <c r="DB93" s="488"/>
      <c r="DC93" s="488"/>
      <c r="DD93" s="488"/>
      <c r="DE93" s="488"/>
      <c r="DF93" s="488"/>
      <c r="DG93" s="488"/>
      <c r="DH93" s="489"/>
      <c r="DI93" s="488"/>
      <c r="DJ93" s="488"/>
      <c r="DK93" s="488"/>
      <c r="DL93" s="488"/>
      <c r="DM93" s="488"/>
      <c r="DN93" s="488"/>
      <c r="DO93" s="488"/>
      <c r="DP93" s="488"/>
      <c r="DQ93" s="488"/>
      <c r="DR93" s="488"/>
      <c r="DS93" s="488"/>
      <c r="DT93" s="488"/>
      <c r="DU93" s="488"/>
      <c r="DV93" s="488"/>
      <c r="DW93" s="488"/>
      <c r="DX93" s="488"/>
      <c r="DY93" s="488"/>
      <c r="DZ93" s="488"/>
      <c r="EA93" s="488"/>
      <c r="EB93" s="488"/>
      <c r="EC93" s="488"/>
      <c r="ED93" s="488"/>
      <c r="EE93" s="488"/>
      <c r="EF93" s="488"/>
      <c r="EG93" s="488"/>
      <c r="EH93" s="488"/>
      <c r="EI93" s="488"/>
      <c r="EJ93" s="488"/>
      <c r="EK93" s="488"/>
      <c r="EL93" s="488"/>
      <c r="EM93" s="488"/>
      <c r="EN93" s="488"/>
      <c r="EO93" s="488"/>
      <c r="EP93" s="488"/>
      <c r="EQ93" s="488"/>
      <c r="ER93" s="488"/>
      <c r="ES93" s="488"/>
      <c r="ET93" s="488"/>
      <c r="EU93" s="488"/>
      <c r="EV93" s="488"/>
    </row>
    <row r="94" spans="1:152" s="496" customFormat="1" ht="13.5" customHeight="1">
      <c r="A94" s="53"/>
      <c r="B94" s="489"/>
      <c r="C94" s="489"/>
      <c r="D94" s="489"/>
      <c r="E94" s="489"/>
      <c r="F94" s="489"/>
      <c r="G94" s="489"/>
      <c r="H94" s="489"/>
      <c r="I94" s="489"/>
      <c r="J94" s="489"/>
      <c r="K94" s="489"/>
      <c r="L94" s="489"/>
      <c r="M94" s="489"/>
      <c r="N94" s="489"/>
      <c r="O94" s="489"/>
      <c r="P94" s="489"/>
      <c r="Q94" s="489"/>
      <c r="R94" s="489"/>
      <c r="S94" s="489"/>
      <c r="T94" s="489"/>
      <c r="U94" s="489"/>
      <c r="V94" s="489"/>
      <c r="W94" s="488"/>
      <c r="X94" s="488"/>
      <c r="Y94" s="488"/>
      <c r="Z94" s="488"/>
      <c r="AA94" s="488"/>
      <c r="AB94" s="488"/>
      <c r="AC94" s="488"/>
      <c r="AD94" s="488"/>
      <c r="AE94" s="488"/>
      <c r="AF94" s="489"/>
      <c r="AG94" s="488"/>
      <c r="AH94" s="488"/>
      <c r="AI94" s="488"/>
      <c r="AJ94" s="488"/>
      <c r="AK94" s="488"/>
      <c r="AL94" s="488"/>
      <c r="AM94" s="488"/>
      <c r="AN94" s="488"/>
      <c r="AO94" s="488"/>
      <c r="AP94" s="489"/>
      <c r="AQ94" s="488"/>
      <c r="AR94" s="488"/>
      <c r="AS94" s="488"/>
      <c r="AT94" s="488"/>
      <c r="AU94" s="488"/>
      <c r="AV94" s="488"/>
      <c r="AW94" s="488"/>
      <c r="AX94" s="488"/>
      <c r="AY94" s="488"/>
      <c r="AZ94" s="489"/>
      <c r="BA94" s="488"/>
      <c r="BB94" s="488"/>
      <c r="BC94" s="488"/>
      <c r="BD94" s="488"/>
      <c r="BE94" s="488"/>
      <c r="BF94" s="488"/>
      <c r="BG94" s="488"/>
      <c r="BH94" s="488"/>
      <c r="BI94" s="488"/>
      <c r="BJ94" s="489"/>
      <c r="BK94" s="488"/>
      <c r="BL94" s="488"/>
      <c r="BM94" s="488"/>
      <c r="BN94" s="488"/>
      <c r="BO94" s="488"/>
      <c r="BP94" s="488"/>
      <c r="BQ94" s="488"/>
      <c r="BR94" s="488"/>
      <c r="BS94" s="488"/>
      <c r="BT94" s="489"/>
      <c r="BU94" s="488"/>
      <c r="BV94" s="488"/>
      <c r="BW94" s="488"/>
      <c r="BX94" s="488"/>
      <c r="BY94" s="488"/>
      <c r="BZ94" s="488"/>
      <c r="CA94" s="488"/>
      <c r="CB94" s="488"/>
      <c r="CC94" s="488"/>
      <c r="CD94" s="489"/>
      <c r="CE94" s="488"/>
      <c r="CF94" s="488"/>
      <c r="CG94" s="488"/>
      <c r="CH94" s="488"/>
      <c r="CI94" s="488"/>
      <c r="CJ94" s="488"/>
      <c r="CK94" s="488"/>
      <c r="CL94" s="488"/>
      <c r="CM94" s="488"/>
      <c r="CN94" s="489"/>
      <c r="CO94" s="488"/>
      <c r="CP94" s="488"/>
      <c r="CQ94" s="488"/>
      <c r="CR94" s="488"/>
      <c r="CS94" s="488"/>
      <c r="CT94" s="488"/>
      <c r="CU94" s="488"/>
      <c r="CV94" s="488"/>
      <c r="CW94" s="488"/>
      <c r="CX94" s="489"/>
      <c r="CY94" s="488"/>
      <c r="CZ94" s="488"/>
      <c r="DA94" s="488"/>
      <c r="DB94" s="488"/>
      <c r="DC94" s="488"/>
      <c r="DD94" s="488"/>
      <c r="DE94" s="488"/>
      <c r="DF94" s="488"/>
      <c r="DG94" s="488"/>
      <c r="DH94" s="489"/>
      <c r="DI94" s="488"/>
      <c r="DJ94" s="488"/>
      <c r="DK94" s="488"/>
      <c r="DL94" s="488"/>
      <c r="DM94" s="488"/>
      <c r="DN94" s="488"/>
      <c r="DO94" s="488"/>
      <c r="DP94" s="488"/>
      <c r="DQ94" s="488"/>
      <c r="DR94" s="488"/>
      <c r="DS94" s="488"/>
      <c r="DT94" s="488"/>
      <c r="DU94" s="488"/>
      <c r="DV94" s="488"/>
      <c r="DW94" s="488"/>
      <c r="DX94" s="488"/>
      <c r="DY94" s="488"/>
      <c r="DZ94" s="488"/>
      <c r="EA94" s="488"/>
      <c r="EB94" s="488"/>
      <c r="EC94" s="488"/>
      <c r="ED94" s="488"/>
      <c r="EE94" s="488"/>
      <c r="EF94" s="488"/>
      <c r="EG94" s="488"/>
      <c r="EH94" s="488"/>
      <c r="EI94" s="488"/>
      <c r="EJ94" s="488"/>
      <c r="EK94" s="488"/>
      <c r="EL94" s="488"/>
      <c r="EM94" s="488"/>
      <c r="EN94" s="488"/>
      <c r="EO94" s="488"/>
      <c r="EP94" s="488"/>
      <c r="EQ94" s="488"/>
      <c r="ER94" s="488"/>
      <c r="ES94" s="488"/>
      <c r="ET94" s="488"/>
      <c r="EU94" s="488"/>
      <c r="EV94" s="488"/>
    </row>
    <row r="95" spans="1:152" s="496" customFormat="1" ht="13.5" customHeight="1">
      <c r="A95" s="69" t="s">
        <v>52</v>
      </c>
      <c r="D95" s="1264" t="s">
        <v>45</v>
      </c>
      <c r="E95" s="1265"/>
      <c r="F95" s="1265"/>
      <c r="G95" s="1265"/>
      <c r="H95" s="1265"/>
      <c r="I95" s="1265"/>
      <c r="J95" s="1265"/>
      <c r="K95" s="1265"/>
      <c r="L95" s="1265"/>
      <c r="V95" s="497"/>
      <c r="AF95" s="497"/>
      <c r="AP95" s="497"/>
      <c r="AZ95" s="497"/>
      <c r="BJ95" s="497"/>
      <c r="BT95" s="497"/>
      <c r="CD95" s="497"/>
      <c r="CN95" s="497"/>
      <c r="CX95" s="497"/>
      <c r="DH95" s="497"/>
      <c r="DR95" s="497"/>
      <c r="EB95" s="489"/>
      <c r="EC95" s="488"/>
      <c r="ED95" s="488"/>
      <c r="EE95" s="488"/>
      <c r="EF95" s="488"/>
      <c r="EG95" s="488"/>
      <c r="EH95" s="488"/>
      <c r="EI95" s="488"/>
      <c r="EJ95" s="488"/>
      <c r="EK95" s="488"/>
      <c r="EL95" s="489"/>
      <c r="EM95" s="488"/>
      <c r="EN95" s="488"/>
      <c r="EO95" s="488"/>
      <c r="EP95" s="488"/>
      <c r="EQ95" s="488"/>
      <c r="ER95" s="488"/>
      <c r="ES95" s="488"/>
      <c r="ET95" s="488"/>
      <c r="EU95" s="488"/>
      <c r="EV95" s="489"/>
    </row>
    <row r="96" spans="1:152" s="496" customFormat="1" ht="13.5" customHeight="1">
      <c r="A96" s="483" t="s">
        <v>43</v>
      </c>
      <c r="B96" s="486">
        <v>0</v>
      </c>
      <c r="C96" s="486">
        <v>0</v>
      </c>
      <c r="D96" s="486">
        <v>0</v>
      </c>
      <c r="E96" s="486">
        <v>0</v>
      </c>
      <c r="F96" s="1273">
        <v>0</v>
      </c>
      <c r="G96" s="486">
        <v>0</v>
      </c>
      <c r="H96" s="486">
        <v>0</v>
      </c>
      <c r="I96" s="486">
        <v>0</v>
      </c>
      <c r="J96" s="486">
        <v>0</v>
      </c>
      <c r="K96" s="1273">
        <v>0</v>
      </c>
      <c r="L96" s="486">
        <v>0</v>
      </c>
      <c r="M96" s="486">
        <v>0</v>
      </c>
      <c r="N96" s="486">
        <v>0</v>
      </c>
      <c r="O96" s="486">
        <v>0</v>
      </c>
      <c r="P96" s="1273">
        <v>0</v>
      </c>
      <c r="Q96" s="486">
        <v>0</v>
      </c>
      <c r="R96" s="486">
        <v>0</v>
      </c>
      <c r="S96" s="486">
        <v>0</v>
      </c>
      <c r="T96" s="486">
        <v>0</v>
      </c>
      <c r="U96" s="1273">
        <v>0</v>
      </c>
      <c r="V96" s="486">
        <v>0</v>
      </c>
      <c r="W96" s="486">
        <v>0</v>
      </c>
      <c r="X96" s="486">
        <v>0</v>
      </c>
      <c r="Y96" s="486">
        <v>0</v>
      </c>
      <c r="Z96" s="1273">
        <v>0</v>
      </c>
      <c r="AA96" s="486">
        <v>0</v>
      </c>
      <c r="AB96" s="486">
        <v>0</v>
      </c>
      <c r="AC96" s="486">
        <v>0</v>
      </c>
      <c r="AD96" s="486">
        <v>0</v>
      </c>
      <c r="AE96" s="1273">
        <v>0</v>
      </c>
      <c r="AF96" s="486">
        <v>0</v>
      </c>
      <c r="AG96" s="486">
        <v>0</v>
      </c>
      <c r="AH96" s="486">
        <v>0</v>
      </c>
      <c r="AI96" s="486">
        <v>0</v>
      </c>
      <c r="AJ96" s="1273">
        <v>0</v>
      </c>
      <c r="AK96" s="486">
        <v>0</v>
      </c>
      <c r="AL96" s="486">
        <v>0</v>
      </c>
      <c r="AM96" s="486">
        <v>0</v>
      </c>
      <c r="AN96" s="486">
        <v>0</v>
      </c>
      <c r="AO96" s="1273">
        <v>0</v>
      </c>
      <c r="AP96" s="486">
        <v>0</v>
      </c>
      <c r="AQ96" s="486">
        <v>0</v>
      </c>
      <c r="AR96" s="486">
        <v>0</v>
      </c>
      <c r="AS96" s="486">
        <v>0</v>
      </c>
      <c r="AT96" s="1273">
        <v>0</v>
      </c>
      <c r="AU96" s="486">
        <v>0</v>
      </c>
      <c r="AV96" s="486">
        <v>0</v>
      </c>
      <c r="AW96" s="486">
        <v>0</v>
      </c>
      <c r="AX96" s="486">
        <v>0</v>
      </c>
      <c r="AY96" s="1273">
        <v>0</v>
      </c>
      <c r="AZ96" s="486">
        <v>0</v>
      </c>
      <c r="BA96" s="486">
        <v>0</v>
      </c>
      <c r="BB96" s="486">
        <v>0</v>
      </c>
      <c r="BC96" s="486">
        <v>0</v>
      </c>
      <c r="BD96" s="1273">
        <v>0</v>
      </c>
      <c r="BE96" s="486">
        <v>0</v>
      </c>
      <c r="BF96" s="486">
        <v>0</v>
      </c>
      <c r="BG96" s="486">
        <v>0</v>
      </c>
      <c r="BH96" s="486">
        <v>0</v>
      </c>
      <c r="BI96" s="1273">
        <v>0</v>
      </c>
      <c r="BJ96" s="486">
        <v>0</v>
      </c>
      <c r="BK96" s="486">
        <v>0</v>
      </c>
      <c r="BL96" s="486">
        <v>0</v>
      </c>
      <c r="BM96" s="486">
        <v>0</v>
      </c>
      <c r="BN96" s="486">
        <v>0</v>
      </c>
      <c r="BO96" s="486">
        <v>0</v>
      </c>
      <c r="BP96" s="486">
        <v>0</v>
      </c>
      <c r="BQ96" s="486">
        <v>0</v>
      </c>
      <c r="BR96" s="486">
        <v>0</v>
      </c>
      <c r="BS96" s="486">
        <v>0</v>
      </c>
      <c r="BT96" s="486">
        <v>0</v>
      </c>
      <c r="BU96" s="486">
        <v>0</v>
      </c>
      <c r="BV96" s="486">
        <v>0</v>
      </c>
      <c r="BW96" s="486">
        <v>0</v>
      </c>
      <c r="BX96" s="486">
        <v>0</v>
      </c>
      <c r="BY96" s="486">
        <v>0</v>
      </c>
      <c r="BZ96" s="486">
        <v>0</v>
      </c>
      <c r="CA96" s="486">
        <v>0</v>
      </c>
      <c r="CB96" s="486">
        <v>0</v>
      </c>
      <c r="CC96" s="486">
        <v>0</v>
      </c>
      <c r="CD96" s="486">
        <v>0</v>
      </c>
      <c r="CE96" s="486">
        <v>0</v>
      </c>
      <c r="CF96" s="486">
        <v>0</v>
      </c>
      <c r="CG96" s="486">
        <v>0</v>
      </c>
      <c r="CH96" s="486">
        <v>0</v>
      </c>
      <c r="CI96" s="486">
        <v>0</v>
      </c>
      <c r="CJ96" s="486">
        <v>0</v>
      </c>
      <c r="CK96" s="486">
        <v>0</v>
      </c>
      <c r="CL96" s="486">
        <v>0</v>
      </c>
      <c r="CM96" s="486">
        <v>0</v>
      </c>
      <c r="CN96" s="486">
        <v>0</v>
      </c>
      <c r="CO96" s="486">
        <v>0</v>
      </c>
      <c r="CP96" s="486">
        <v>0</v>
      </c>
      <c r="CQ96" s="486">
        <v>0</v>
      </c>
      <c r="CR96" s="486">
        <v>0</v>
      </c>
      <c r="CS96" s="486">
        <v>0</v>
      </c>
      <c r="CT96" s="486">
        <v>0</v>
      </c>
      <c r="CU96" s="486">
        <v>0</v>
      </c>
      <c r="CV96" s="486">
        <v>0</v>
      </c>
      <c r="CW96" s="486">
        <v>0</v>
      </c>
      <c r="CX96" s="486">
        <v>0</v>
      </c>
      <c r="CY96" s="486">
        <v>0</v>
      </c>
      <c r="CZ96" s="486">
        <v>0</v>
      </c>
      <c r="DA96" s="486">
        <v>0</v>
      </c>
      <c r="DB96" s="486">
        <v>0</v>
      </c>
      <c r="DC96" s="486">
        <v>0</v>
      </c>
      <c r="DD96" s="486">
        <v>0</v>
      </c>
      <c r="DE96" s="486">
        <v>0</v>
      </c>
      <c r="DF96" s="486">
        <v>0</v>
      </c>
      <c r="DG96" s="486">
        <v>0</v>
      </c>
      <c r="DH96" s="486">
        <v>0</v>
      </c>
      <c r="DI96" s="486">
        <v>0</v>
      </c>
      <c r="DJ96" s="486">
        <v>0</v>
      </c>
      <c r="DK96" s="486">
        <v>0</v>
      </c>
      <c r="DL96" s="486">
        <v>0</v>
      </c>
      <c r="DM96" s="486">
        <v>0</v>
      </c>
      <c r="DN96" s="486">
        <v>0</v>
      </c>
      <c r="DO96" s="486">
        <v>0</v>
      </c>
      <c r="DP96" s="486">
        <v>0</v>
      </c>
      <c r="DQ96" s="486">
        <v>0</v>
      </c>
      <c r="DR96" s="486">
        <v>0</v>
      </c>
      <c r="DS96" s="486">
        <v>0</v>
      </c>
      <c r="DT96" s="486">
        <v>0</v>
      </c>
      <c r="DU96" s="486">
        <v>0</v>
      </c>
      <c r="DV96" s="486">
        <v>0</v>
      </c>
      <c r="DW96" s="486">
        <v>0</v>
      </c>
      <c r="DX96" s="486">
        <v>0</v>
      </c>
      <c r="DY96" s="486">
        <v>0</v>
      </c>
      <c r="DZ96" s="486">
        <v>0</v>
      </c>
      <c r="EA96" s="486">
        <v>0</v>
      </c>
      <c r="EB96" s="486">
        <v>0</v>
      </c>
      <c r="EC96" s="486">
        <v>0</v>
      </c>
      <c r="ED96" s="486">
        <v>0</v>
      </c>
      <c r="EE96" s="486">
        <v>0</v>
      </c>
      <c r="EF96" s="486">
        <v>0</v>
      </c>
      <c r="EG96" s="486">
        <v>0</v>
      </c>
      <c r="EH96" s="486">
        <v>0</v>
      </c>
      <c r="EI96" s="486">
        <v>0</v>
      </c>
      <c r="EJ96" s="486">
        <v>0</v>
      </c>
      <c r="EK96" s="486">
        <v>0</v>
      </c>
      <c r="EL96" s="486">
        <v>0</v>
      </c>
      <c r="EM96" s="486">
        <v>0</v>
      </c>
      <c r="EN96" s="486">
        <v>0</v>
      </c>
      <c r="EO96" s="486">
        <v>0</v>
      </c>
      <c r="EP96" s="486">
        <v>0</v>
      </c>
      <c r="EQ96" s="486">
        <v>0</v>
      </c>
      <c r="ER96" s="486">
        <v>0</v>
      </c>
      <c r="ES96" s="486">
        <v>0</v>
      </c>
      <c r="ET96" s="486">
        <v>0</v>
      </c>
      <c r="EU96" s="486">
        <v>0</v>
      </c>
      <c r="EV96" s="486">
        <v>0</v>
      </c>
    </row>
    <row r="97" spans="1:152" s="496" customFormat="1" ht="13.5" customHeight="1">
      <c r="A97" s="6" t="s">
        <v>7</v>
      </c>
      <c r="B97" s="1273">
        <v>1100</v>
      </c>
      <c r="C97" s="1273">
        <v>1100</v>
      </c>
      <c r="D97" s="1273">
        <v>1100</v>
      </c>
      <c r="E97" s="1273">
        <v>1100</v>
      </c>
      <c r="F97" s="1273">
        <v>1100</v>
      </c>
      <c r="G97" s="1273">
        <v>1100</v>
      </c>
      <c r="H97" s="1273">
        <v>1100</v>
      </c>
      <c r="I97" s="1273">
        <v>1100</v>
      </c>
      <c r="J97" s="1273">
        <v>1100</v>
      </c>
      <c r="K97" s="1273">
        <v>1100</v>
      </c>
      <c r="L97" s="1273">
        <v>1100</v>
      </c>
      <c r="M97" s="1273">
        <v>1100</v>
      </c>
      <c r="N97" s="1273">
        <v>1100</v>
      </c>
      <c r="O97" s="1273">
        <v>1100</v>
      </c>
      <c r="P97" s="1273">
        <v>1100</v>
      </c>
      <c r="Q97" s="1273">
        <v>1100</v>
      </c>
      <c r="R97" s="1273">
        <v>1100</v>
      </c>
      <c r="S97" s="1273">
        <v>1100</v>
      </c>
      <c r="T97" s="1273">
        <v>1100</v>
      </c>
      <c r="U97" s="1273">
        <v>1100</v>
      </c>
      <c r="V97" s="1275">
        <v>1100</v>
      </c>
      <c r="W97" s="1276">
        <f>V97-(V97-AA97)/5</f>
        <v>1070</v>
      </c>
      <c r="X97" s="1276">
        <f>W97-(V97-AA97)/5</f>
        <v>1040</v>
      </c>
      <c r="Y97" s="1276">
        <f>X97-(V97-AA97)/5</f>
        <v>1010</v>
      </c>
      <c r="Z97" s="1276">
        <f>Y97-(V97-AA97)/5</f>
        <v>980</v>
      </c>
      <c r="AA97" s="1276">
        <v>950</v>
      </c>
      <c r="AB97" s="1276">
        <f>AA97-(AA97-AF97)/5</f>
        <v>920</v>
      </c>
      <c r="AC97" s="1276">
        <f>AB97-(AA97-AF97)/5</f>
        <v>890</v>
      </c>
      <c r="AD97" s="1276">
        <f>AC97-(AA97-AF97)/5</f>
        <v>860</v>
      </c>
      <c r="AE97" s="1276">
        <f>AD97-(AA97-AF97)/5</f>
        <v>830</v>
      </c>
      <c r="AF97" s="1275">
        <v>800</v>
      </c>
      <c r="AG97" s="1276">
        <f>AF97-(AF97-AK97)/5</f>
        <v>775</v>
      </c>
      <c r="AH97" s="1276">
        <f>AG97-(AF97-AK97)/5</f>
        <v>750</v>
      </c>
      <c r="AI97" s="1276">
        <f>AH97-(AF97-AK97)/5</f>
        <v>725</v>
      </c>
      <c r="AJ97" s="1276">
        <f>AI97-(AF97-AK97)/5</f>
        <v>700</v>
      </c>
      <c r="AK97" s="1276">
        <v>675</v>
      </c>
      <c r="AL97" s="1276">
        <f>AK97-(AK97-AP97)/5</f>
        <v>650</v>
      </c>
      <c r="AM97" s="1276">
        <f>AL97-(AK97-AP97)/5</f>
        <v>625</v>
      </c>
      <c r="AN97" s="1276">
        <f>AM97-(AK97-AP97)/5</f>
        <v>600</v>
      </c>
      <c r="AO97" s="1276">
        <f>AN97-(AK97-AP97)/5</f>
        <v>575</v>
      </c>
      <c r="AP97" s="1275">
        <v>550</v>
      </c>
      <c r="AQ97" s="1276">
        <f>AP97-(AP97-AU97)/5</f>
        <v>534</v>
      </c>
      <c r="AR97" s="1276">
        <f>AQ97-(AP97-AU97)/5</f>
        <v>518</v>
      </c>
      <c r="AS97" s="1276">
        <f>AR97-(AP97-AU97)/5</f>
        <v>502</v>
      </c>
      <c r="AT97" s="1276">
        <f>AS97-(AP97-AU97)/5</f>
        <v>486</v>
      </c>
      <c r="AU97" s="1276">
        <v>470</v>
      </c>
      <c r="AV97" s="1276">
        <f>AU97-(AU97-AZ97)/5</f>
        <v>454</v>
      </c>
      <c r="AW97" s="1276">
        <f>AV97-(AU97-AZ97)/5</f>
        <v>438</v>
      </c>
      <c r="AX97" s="1276">
        <f>AW97-(AU97-AZ97)/5</f>
        <v>422</v>
      </c>
      <c r="AY97" s="1276">
        <f>AX97-(AU97-AZ97)/5</f>
        <v>406</v>
      </c>
      <c r="AZ97" s="1275">
        <v>390</v>
      </c>
      <c r="BA97" s="1276">
        <f>AZ97-(AZ97-BE97)/5</f>
        <v>378</v>
      </c>
      <c r="BB97" s="1276">
        <f>BA97-(AZ97-BE97)/5</f>
        <v>366</v>
      </c>
      <c r="BC97" s="1276">
        <f>BB97-(AZ97-BE97)/5</f>
        <v>354</v>
      </c>
      <c r="BD97" s="1276">
        <f>BC97-(AZ97-BE97)/5</f>
        <v>342</v>
      </c>
      <c r="BE97" s="1276">
        <v>330</v>
      </c>
      <c r="BF97" s="1276">
        <f>BE97-(BE97-BJ97)/5</f>
        <v>318</v>
      </c>
      <c r="BG97" s="1276">
        <f>BF97-(BE97-BJ97)/5</f>
        <v>306</v>
      </c>
      <c r="BH97" s="1276">
        <f>BG97-(BE97-BJ97)/5</f>
        <v>294</v>
      </c>
      <c r="BI97" s="1276">
        <f>BH97-(BE97-BJ97)/5</f>
        <v>282</v>
      </c>
      <c r="BJ97" s="1275">
        <v>270</v>
      </c>
      <c r="BK97" s="1276">
        <f>BJ97-(BJ97-BO97)/5</f>
        <v>262</v>
      </c>
      <c r="BL97" s="1276">
        <f>BK97-(BJ97-BO97)/5</f>
        <v>254</v>
      </c>
      <c r="BM97" s="1276">
        <f>BL97-(BJ97-BO97)/5</f>
        <v>246</v>
      </c>
      <c r="BN97" s="1276">
        <f>BM97-(BJ97-BO97)/5</f>
        <v>238</v>
      </c>
      <c r="BO97" s="1276">
        <v>230</v>
      </c>
      <c r="BP97" s="1276">
        <f>BO97-(BO97-BT97)/5</f>
        <v>222</v>
      </c>
      <c r="BQ97" s="1276">
        <f>BP97-(BO97-BT97)/5</f>
        <v>214</v>
      </c>
      <c r="BR97" s="1276">
        <f>BQ97-(BO97-BT97)/5</f>
        <v>206</v>
      </c>
      <c r="BS97" s="1276">
        <f>BR97-(BO97-BT97)/5</f>
        <v>198</v>
      </c>
      <c r="BT97" s="1275">
        <v>190</v>
      </c>
      <c r="BU97" s="1276">
        <v>0</v>
      </c>
      <c r="BV97" s="1276">
        <v>0</v>
      </c>
      <c r="BW97" s="1276">
        <v>0</v>
      </c>
      <c r="BX97" s="1276">
        <v>0</v>
      </c>
      <c r="BY97" s="1276">
        <v>0</v>
      </c>
      <c r="BZ97" s="1276">
        <v>0</v>
      </c>
      <c r="CA97" s="1276">
        <v>0</v>
      </c>
      <c r="CB97" s="1276">
        <v>0</v>
      </c>
      <c r="CC97" s="1276">
        <v>0</v>
      </c>
      <c r="CD97" s="1276">
        <v>0</v>
      </c>
      <c r="CE97" s="1276">
        <v>0</v>
      </c>
      <c r="CF97" s="1276">
        <v>0</v>
      </c>
      <c r="CG97" s="1276">
        <v>0</v>
      </c>
      <c r="CH97" s="1276">
        <v>0</v>
      </c>
      <c r="CI97" s="1276">
        <v>0</v>
      </c>
      <c r="CJ97" s="1276">
        <v>0</v>
      </c>
      <c r="CK97" s="1276">
        <v>0</v>
      </c>
      <c r="CL97" s="1276">
        <v>0</v>
      </c>
      <c r="CM97" s="1276">
        <v>0</v>
      </c>
      <c r="CN97" s="1276">
        <v>0</v>
      </c>
      <c r="CO97" s="1276">
        <v>0</v>
      </c>
      <c r="CP97" s="1276">
        <v>0</v>
      </c>
      <c r="CQ97" s="1276">
        <v>0</v>
      </c>
      <c r="CR97" s="1276">
        <v>0</v>
      </c>
      <c r="CS97" s="1276">
        <v>0</v>
      </c>
      <c r="CT97" s="1276">
        <v>0</v>
      </c>
      <c r="CU97" s="1276">
        <v>0</v>
      </c>
      <c r="CV97" s="1276">
        <v>0</v>
      </c>
      <c r="CW97" s="1276">
        <v>0</v>
      </c>
      <c r="CX97" s="1276">
        <v>0</v>
      </c>
      <c r="CY97" s="1276">
        <v>0</v>
      </c>
      <c r="CZ97" s="1276">
        <v>0</v>
      </c>
      <c r="DA97" s="1276">
        <v>0</v>
      </c>
      <c r="DB97" s="1276">
        <v>0</v>
      </c>
      <c r="DC97" s="1276">
        <v>0</v>
      </c>
      <c r="DD97" s="1276">
        <v>0</v>
      </c>
      <c r="DE97" s="1276">
        <v>0</v>
      </c>
      <c r="DF97" s="1276">
        <v>0</v>
      </c>
      <c r="DG97" s="1276">
        <v>0</v>
      </c>
      <c r="DH97" s="1276">
        <v>0</v>
      </c>
      <c r="DI97" s="1276">
        <v>0</v>
      </c>
      <c r="DJ97" s="1276">
        <v>0</v>
      </c>
      <c r="DK97" s="1276">
        <v>0</v>
      </c>
      <c r="DL97" s="1276">
        <v>0</v>
      </c>
      <c r="DM97" s="1276">
        <v>0</v>
      </c>
      <c r="DN97" s="1276">
        <v>0</v>
      </c>
      <c r="DO97" s="1276">
        <v>0</v>
      </c>
      <c r="DP97" s="1276">
        <v>0</v>
      </c>
      <c r="DQ97" s="1276">
        <v>0</v>
      </c>
      <c r="DR97" s="1276">
        <v>0</v>
      </c>
      <c r="DS97" s="1276">
        <v>0</v>
      </c>
      <c r="DT97" s="1276">
        <v>0</v>
      </c>
      <c r="DU97" s="1276">
        <v>0</v>
      </c>
      <c r="DV97" s="1276">
        <v>0</v>
      </c>
      <c r="DW97" s="1276">
        <v>0</v>
      </c>
      <c r="DX97" s="1276">
        <v>0</v>
      </c>
      <c r="DY97" s="1276">
        <v>0</v>
      </c>
      <c r="DZ97" s="1276">
        <v>0</v>
      </c>
      <c r="EA97" s="1276">
        <v>0</v>
      </c>
      <c r="EB97" s="1276">
        <v>0</v>
      </c>
      <c r="EC97" s="1276">
        <v>0</v>
      </c>
      <c r="ED97" s="1276">
        <v>0</v>
      </c>
      <c r="EE97" s="1276">
        <v>0</v>
      </c>
      <c r="EF97" s="1276">
        <v>0</v>
      </c>
      <c r="EG97" s="1276">
        <v>0</v>
      </c>
      <c r="EH97" s="1276">
        <v>0</v>
      </c>
      <c r="EI97" s="1276">
        <v>0</v>
      </c>
      <c r="EJ97" s="1276">
        <v>0</v>
      </c>
      <c r="EK97" s="1276">
        <v>0</v>
      </c>
      <c r="EL97" s="1276">
        <v>0</v>
      </c>
      <c r="EM97" s="1276">
        <v>0</v>
      </c>
      <c r="EN97" s="1276">
        <v>0</v>
      </c>
      <c r="EO97" s="1276">
        <v>0</v>
      </c>
      <c r="EP97" s="1276">
        <v>0</v>
      </c>
      <c r="EQ97" s="1276">
        <v>0</v>
      </c>
      <c r="ER97" s="1276">
        <v>0</v>
      </c>
      <c r="ES97" s="1276">
        <v>0</v>
      </c>
      <c r="ET97" s="1276">
        <v>0</v>
      </c>
      <c r="EU97" s="1276">
        <v>0</v>
      </c>
      <c r="EV97" s="1276">
        <v>0</v>
      </c>
    </row>
    <row r="98" s="496" customFormat="1" ht="13.5" customHeight="1"/>
    <row r="99" spans="1:72" s="496" customFormat="1" ht="13.5" customHeight="1">
      <c r="A99" s="53"/>
      <c r="B99" s="487"/>
      <c r="C99" s="487"/>
      <c r="D99" s="487"/>
      <c r="E99" s="487"/>
      <c r="F99" s="487"/>
      <c r="G99" s="487"/>
      <c r="H99" s="487"/>
      <c r="I99" s="487"/>
      <c r="J99" s="487"/>
      <c r="K99" s="487"/>
      <c r="L99" s="487"/>
      <c r="M99" s="487"/>
      <c r="N99" s="487"/>
      <c r="O99" s="487"/>
      <c r="P99" s="487"/>
      <c r="Q99" s="487"/>
      <c r="R99" s="487"/>
      <c r="S99" s="487"/>
      <c r="T99" s="487"/>
      <c r="U99" s="487"/>
      <c r="V99" s="497"/>
      <c r="AF99" s="497"/>
      <c r="AP99" s="497"/>
      <c r="AZ99" s="497"/>
      <c r="BJ99" s="497"/>
      <c r="BT99" s="497"/>
    </row>
    <row r="100" spans="1:72" s="496" customFormat="1" ht="13.5" customHeight="1">
      <c r="A100" s="53"/>
      <c r="B100" s="487"/>
      <c r="C100" s="487"/>
      <c r="D100" s="487"/>
      <c r="E100" s="487"/>
      <c r="F100" s="487"/>
      <c r="G100" s="487"/>
      <c r="H100" s="487"/>
      <c r="I100" s="487"/>
      <c r="J100" s="487"/>
      <c r="K100" s="487"/>
      <c r="L100" s="487"/>
      <c r="M100" s="487"/>
      <c r="N100" s="487"/>
      <c r="O100" s="487"/>
      <c r="P100" s="487"/>
      <c r="Q100" s="487"/>
      <c r="R100" s="487"/>
      <c r="S100" s="487"/>
      <c r="T100" s="487"/>
      <c r="U100" s="487"/>
      <c r="V100" s="497"/>
      <c r="AF100" s="497"/>
      <c r="AP100" s="497"/>
      <c r="AZ100" s="497"/>
      <c r="BJ100" s="497"/>
      <c r="BT100" s="497"/>
    </row>
    <row r="101" spans="1:72" s="496" customFormat="1" ht="13.5" customHeight="1">
      <c r="A101" s="53"/>
      <c r="B101" s="487"/>
      <c r="C101" s="487"/>
      <c r="D101" s="487"/>
      <c r="E101" s="487"/>
      <c r="F101" s="487"/>
      <c r="G101" s="487"/>
      <c r="H101" s="487"/>
      <c r="I101" s="487"/>
      <c r="J101" s="487"/>
      <c r="K101" s="487"/>
      <c r="L101" s="487"/>
      <c r="M101" s="487"/>
      <c r="N101" s="487"/>
      <c r="O101" s="487"/>
      <c r="P101" s="487"/>
      <c r="Q101" s="487"/>
      <c r="R101" s="487"/>
      <c r="S101" s="487"/>
      <c r="T101" s="487"/>
      <c r="U101" s="487"/>
      <c r="V101" s="497"/>
      <c r="AF101" s="497"/>
      <c r="AP101" s="497"/>
      <c r="AZ101" s="497"/>
      <c r="BJ101" s="497"/>
      <c r="BT101" s="497"/>
    </row>
    <row r="102" spans="1:92" s="496" customFormat="1" ht="13.5" customHeight="1">
      <c r="A102" s="53"/>
      <c r="B102" s="487"/>
      <c r="C102" s="487"/>
      <c r="D102" s="487"/>
      <c r="E102" s="487"/>
      <c r="F102" s="487"/>
      <c r="G102" s="487"/>
      <c r="H102" s="487"/>
      <c r="I102" s="487"/>
      <c r="J102" s="487"/>
      <c r="K102" s="487"/>
      <c r="L102" s="487"/>
      <c r="M102" s="487"/>
      <c r="N102" s="487"/>
      <c r="O102" s="487"/>
      <c r="P102" s="487"/>
      <c r="Q102" s="487"/>
      <c r="R102" s="487"/>
      <c r="S102" s="487"/>
      <c r="T102" s="487"/>
      <c r="U102" s="487"/>
      <c r="V102" s="487"/>
      <c r="AF102" s="497"/>
      <c r="AP102" s="497"/>
      <c r="AZ102" s="497"/>
      <c r="BJ102" s="497"/>
      <c r="BT102" s="497"/>
      <c r="CD102" s="497"/>
      <c r="CN102" s="497"/>
    </row>
    <row r="103" spans="1:92" s="496" customFormat="1" ht="13.5" customHeight="1">
      <c r="A103" s="53"/>
      <c r="B103" s="487"/>
      <c r="C103" s="487"/>
      <c r="D103" s="487"/>
      <c r="E103" s="487"/>
      <c r="F103" s="487"/>
      <c r="G103" s="487"/>
      <c r="H103" s="487"/>
      <c r="I103" s="487"/>
      <c r="J103" s="487"/>
      <c r="K103" s="487"/>
      <c r="L103" s="487"/>
      <c r="M103" s="487"/>
      <c r="N103" s="487"/>
      <c r="O103" s="487"/>
      <c r="P103" s="487"/>
      <c r="Q103" s="487"/>
      <c r="R103" s="487"/>
      <c r="S103" s="487"/>
      <c r="T103" s="487"/>
      <c r="U103" s="487"/>
      <c r="V103" s="487"/>
      <c r="AF103" s="497"/>
      <c r="AP103" s="497"/>
      <c r="AZ103" s="497"/>
      <c r="BJ103" s="497"/>
      <c r="BT103" s="497"/>
      <c r="CD103" s="497"/>
      <c r="CN103" s="497"/>
    </row>
    <row r="104" spans="1:92" s="496" customFormat="1" ht="13.5" customHeight="1">
      <c r="A104" s="53"/>
      <c r="B104" s="487"/>
      <c r="C104" s="487"/>
      <c r="D104" s="487"/>
      <c r="E104" s="487"/>
      <c r="F104" s="487"/>
      <c r="G104" s="487"/>
      <c r="H104" s="487"/>
      <c r="I104" s="487"/>
      <c r="J104" s="487"/>
      <c r="K104" s="487"/>
      <c r="L104" s="487"/>
      <c r="M104" s="487"/>
      <c r="N104" s="487"/>
      <c r="O104" s="487"/>
      <c r="P104" s="487"/>
      <c r="Q104" s="487"/>
      <c r="R104" s="487"/>
      <c r="S104" s="487"/>
      <c r="T104" s="487"/>
      <c r="U104" s="487"/>
      <c r="V104" s="487"/>
      <c r="AF104" s="497"/>
      <c r="AP104" s="497"/>
      <c r="AZ104" s="497"/>
      <c r="BJ104" s="497"/>
      <c r="BT104" s="497"/>
      <c r="CD104" s="497"/>
      <c r="CN104" s="497"/>
    </row>
    <row r="105" spans="1:72" s="496" customFormat="1" ht="13.5" customHeight="1">
      <c r="A105" s="53"/>
      <c r="B105" s="487"/>
      <c r="C105" s="487"/>
      <c r="D105" s="487"/>
      <c r="E105" s="487"/>
      <c r="F105" s="487"/>
      <c r="G105" s="487"/>
      <c r="H105" s="487"/>
      <c r="I105" s="487"/>
      <c r="J105" s="487"/>
      <c r="K105" s="487"/>
      <c r="L105" s="487"/>
      <c r="M105" s="487"/>
      <c r="N105" s="487"/>
      <c r="O105" s="487"/>
      <c r="P105" s="487"/>
      <c r="Q105" s="487"/>
      <c r="R105" s="487"/>
      <c r="S105" s="487"/>
      <c r="T105" s="487"/>
      <c r="U105" s="487"/>
      <c r="V105" s="487"/>
      <c r="AF105" s="497"/>
      <c r="AP105" s="497"/>
      <c r="AZ105" s="497"/>
      <c r="BJ105" s="497"/>
      <c r="BT105" s="497"/>
    </row>
    <row r="106" spans="1:72" s="496" customFormat="1" ht="13.5" customHeight="1">
      <c r="A106" s="53"/>
      <c r="B106" s="487"/>
      <c r="C106" s="487"/>
      <c r="D106" s="487"/>
      <c r="E106" s="487"/>
      <c r="F106" s="487"/>
      <c r="G106" s="487"/>
      <c r="H106" s="487"/>
      <c r="I106" s="487"/>
      <c r="J106" s="487"/>
      <c r="K106" s="487"/>
      <c r="L106" s="487"/>
      <c r="M106" s="487"/>
      <c r="N106" s="487"/>
      <c r="O106" s="487"/>
      <c r="P106" s="487"/>
      <c r="Q106" s="487"/>
      <c r="R106" s="487"/>
      <c r="S106" s="487"/>
      <c r="T106" s="487"/>
      <c r="U106" s="487"/>
      <c r="V106" s="487"/>
      <c r="AF106" s="497"/>
      <c r="AP106" s="497"/>
      <c r="AZ106" s="497"/>
      <c r="BJ106" s="497"/>
      <c r="BT106" s="497"/>
    </row>
    <row r="107" spans="1:72" s="496" customFormat="1" ht="13.5" customHeight="1">
      <c r="A107" s="53"/>
      <c r="B107" s="487"/>
      <c r="C107" s="487"/>
      <c r="D107" s="487"/>
      <c r="E107" s="487"/>
      <c r="F107" s="487"/>
      <c r="G107" s="487"/>
      <c r="H107" s="487"/>
      <c r="I107" s="487"/>
      <c r="J107" s="487"/>
      <c r="K107" s="487"/>
      <c r="L107" s="487"/>
      <c r="M107" s="487"/>
      <c r="N107" s="487"/>
      <c r="O107" s="487"/>
      <c r="P107" s="487"/>
      <c r="Q107" s="487"/>
      <c r="R107" s="487"/>
      <c r="S107" s="487"/>
      <c r="T107" s="487"/>
      <c r="U107" s="487"/>
      <c r="V107" s="487"/>
      <c r="AF107" s="497"/>
      <c r="AP107" s="497"/>
      <c r="AZ107" s="497"/>
      <c r="BJ107" s="497"/>
      <c r="BT107" s="497"/>
    </row>
    <row r="108" spans="1:72" s="496" customFormat="1" ht="13.5" customHeight="1">
      <c r="A108" s="53"/>
      <c r="B108" s="487"/>
      <c r="C108" s="487"/>
      <c r="D108" s="487"/>
      <c r="E108" s="487"/>
      <c r="F108" s="487"/>
      <c r="G108" s="487"/>
      <c r="H108" s="487"/>
      <c r="I108" s="487"/>
      <c r="J108" s="487"/>
      <c r="K108" s="487"/>
      <c r="L108" s="487"/>
      <c r="M108" s="487"/>
      <c r="N108" s="487"/>
      <c r="O108" s="487"/>
      <c r="P108" s="487"/>
      <c r="Q108" s="487"/>
      <c r="R108" s="487"/>
      <c r="S108" s="487"/>
      <c r="T108" s="487"/>
      <c r="U108" s="487"/>
      <c r="V108" s="487"/>
      <c r="AF108" s="497"/>
      <c r="AP108" s="497"/>
      <c r="AZ108" s="497"/>
      <c r="BJ108" s="497"/>
      <c r="BT108" s="497"/>
    </row>
    <row r="109" spans="1:112" s="496" customFormat="1" ht="13.5" customHeight="1">
      <c r="A109" s="53"/>
      <c r="B109" s="487"/>
      <c r="C109" s="487"/>
      <c r="D109" s="487"/>
      <c r="E109" s="487"/>
      <c r="F109" s="487"/>
      <c r="G109" s="487"/>
      <c r="H109" s="487"/>
      <c r="I109" s="487"/>
      <c r="J109" s="487"/>
      <c r="K109" s="487"/>
      <c r="L109" s="487"/>
      <c r="M109" s="487"/>
      <c r="N109" s="487"/>
      <c r="O109" s="487"/>
      <c r="P109" s="487"/>
      <c r="Q109" s="487"/>
      <c r="R109" s="487"/>
      <c r="S109" s="487"/>
      <c r="T109" s="487"/>
      <c r="U109" s="487"/>
      <c r="V109" s="487"/>
      <c r="AF109" s="497"/>
      <c r="AP109" s="497"/>
      <c r="AZ109" s="497"/>
      <c r="BJ109" s="497"/>
      <c r="BT109" s="497"/>
      <c r="CD109" s="497"/>
      <c r="CN109" s="497"/>
      <c r="CX109" s="497"/>
      <c r="DH109" s="497"/>
    </row>
    <row r="110" spans="1:152" s="496" customFormat="1" ht="13.5" customHeight="1">
      <c r="A110" s="69" t="s">
        <v>52</v>
      </c>
      <c r="B110" s="1"/>
      <c r="C110" s="416"/>
      <c r="D110" s="1264" t="s">
        <v>46</v>
      </c>
      <c r="E110" s="1268"/>
      <c r="F110" s="1268"/>
      <c r="G110" s="1268"/>
      <c r="H110" s="1268"/>
      <c r="I110" s="1268"/>
      <c r="J110" s="1268"/>
      <c r="K110" s="1268"/>
      <c r="L110" s="1268"/>
      <c r="M110" s="498"/>
      <c r="N110" s="486"/>
      <c r="O110" s="486"/>
      <c r="P110" s="486"/>
      <c r="Q110" s="486"/>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6"/>
      <c r="AY110" s="486"/>
      <c r="AZ110" s="486"/>
      <c r="BA110" s="486"/>
      <c r="BB110" s="486"/>
      <c r="BC110" s="486"/>
      <c r="BD110" s="486"/>
      <c r="BE110" s="486"/>
      <c r="BF110" s="486"/>
      <c r="BG110" s="486"/>
      <c r="BH110" s="486"/>
      <c r="BI110" s="486"/>
      <c r="BJ110" s="486"/>
      <c r="BK110" s="486"/>
      <c r="BL110" s="486"/>
      <c r="BM110" s="486"/>
      <c r="BN110" s="486"/>
      <c r="BO110" s="486"/>
      <c r="BP110" s="486"/>
      <c r="BQ110" s="486"/>
      <c r="BR110" s="486"/>
      <c r="BS110" s="486"/>
      <c r="BT110" s="486"/>
      <c r="BU110" s="486"/>
      <c r="BV110" s="486"/>
      <c r="BW110" s="486"/>
      <c r="BX110" s="486"/>
      <c r="BY110" s="486"/>
      <c r="BZ110" s="486"/>
      <c r="CA110" s="486"/>
      <c r="CB110" s="486"/>
      <c r="CC110" s="486"/>
      <c r="CD110" s="486"/>
      <c r="CE110" s="486"/>
      <c r="CF110" s="486"/>
      <c r="CG110" s="486"/>
      <c r="CH110" s="486"/>
      <c r="CI110" s="486"/>
      <c r="CJ110" s="486"/>
      <c r="CK110" s="486"/>
      <c r="CL110" s="486"/>
      <c r="CM110" s="486"/>
      <c r="CN110" s="486"/>
      <c r="CO110" s="486"/>
      <c r="CP110" s="486"/>
      <c r="CQ110" s="486"/>
      <c r="CR110" s="486"/>
      <c r="CS110" s="486"/>
      <c r="CT110" s="486"/>
      <c r="CU110" s="486"/>
      <c r="CV110" s="486"/>
      <c r="CW110" s="486"/>
      <c r="CX110" s="486"/>
      <c r="CY110" s="486"/>
      <c r="CZ110" s="486"/>
      <c r="DA110" s="486"/>
      <c r="DB110" s="486"/>
      <c r="DC110" s="486"/>
      <c r="DD110" s="486"/>
      <c r="DE110" s="486"/>
      <c r="DF110" s="486"/>
      <c r="DG110" s="486"/>
      <c r="DH110" s="486"/>
      <c r="DI110" s="486"/>
      <c r="DJ110" s="486"/>
      <c r="DK110" s="486"/>
      <c r="DL110" s="486"/>
      <c r="DM110" s="486"/>
      <c r="DN110" s="486"/>
      <c r="DO110" s="486"/>
      <c r="DP110" s="486"/>
      <c r="DQ110" s="486"/>
      <c r="DR110" s="486"/>
      <c r="DS110" s="486"/>
      <c r="DT110" s="486"/>
      <c r="DU110" s="486"/>
      <c r="DV110" s="486"/>
      <c r="DW110" s="486"/>
      <c r="DX110" s="486"/>
      <c r="DY110" s="486"/>
      <c r="DZ110" s="486"/>
      <c r="EA110" s="486"/>
      <c r="EB110" s="486"/>
      <c r="EC110" s="486"/>
      <c r="ED110" s="486"/>
      <c r="EE110" s="486"/>
      <c r="EF110" s="486"/>
      <c r="EG110" s="486"/>
      <c r="EH110" s="486"/>
      <c r="EI110" s="486"/>
      <c r="EJ110" s="486"/>
      <c r="EK110" s="486"/>
      <c r="EL110" s="486"/>
      <c r="EM110" s="486"/>
      <c r="EN110" s="486"/>
      <c r="EO110" s="486"/>
      <c r="EP110" s="486"/>
      <c r="EQ110" s="486"/>
      <c r="ER110" s="486"/>
      <c r="ES110" s="486"/>
      <c r="ET110" s="486"/>
      <c r="EU110" s="486"/>
      <c r="EV110" s="486"/>
    </row>
    <row r="111" spans="2:152" s="496" customFormat="1" ht="13.5" customHeight="1">
      <c r="B111" s="90">
        <v>1</v>
      </c>
      <c r="C111" s="90">
        <v>5</v>
      </c>
      <c r="D111" s="90">
        <v>10</v>
      </c>
      <c r="E111" s="90">
        <v>25</v>
      </c>
      <c r="F111" s="1"/>
      <c r="G111" s="1"/>
      <c r="H111" s="1"/>
      <c r="I111" s="1"/>
      <c r="J111" s="89"/>
      <c r="K111" s="89"/>
      <c r="L111" s="89"/>
      <c r="M111" s="499"/>
      <c r="Q111" s="500"/>
      <c r="R111" s="500"/>
      <c r="S111" s="500"/>
      <c r="T111" s="500"/>
      <c r="U111" s="500"/>
      <c r="V111" s="497"/>
      <c r="X111" s="501"/>
      <c r="Y111" s="501"/>
      <c r="Z111" s="501"/>
      <c r="AA111" s="501"/>
      <c r="AB111" s="501"/>
      <c r="AC111" s="501"/>
      <c r="AD111" s="501"/>
      <c r="AE111" s="501"/>
      <c r="AF111" s="498"/>
      <c r="AG111" s="498"/>
      <c r="AP111" s="497"/>
      <c r="AZ111" s="497"/>
      <c r="BJ111" s="497"/>
      <c r="BT111" s="497"/>
      <c r="CD111" s="497"/>
      <c r="CN111" s="497"/>
      <c r="CX111" s="497"/>
      <c r="DH111" s="497"/>
      <c r="DR111" s="497"/>
      <c r="EB111" s="489"/>
      <c r="EC111" s="488"/>
      <c r="ED111" s="488"/>
      <c r="EE111" s="488"/>
      <c r="EF111" s="488"/>
      <c r="EG111" s="488"/>
      <c r="EH111" s="488"/>
      <c r="EI111" s="488"/>
      <c r="EJ111" s="488"/>
      <c r="EK111" s="488"/>
      <c r="EL111" s="489"/>
      <c r="EM111" s="488"/>
      <c r="EN111" s="488"/>
      <c r="EO111" s="488"/>
      <c r="EP111" s="488"/>
      <c r="EQ111" s="488"/>
      <c r="ER111" s="488"/>
      <c r="ES111" s="488"/>
      <c r="ET111" s="488"/>
      <c r="EU111" s="488"/>
      <c r="EV111" s="489"/>
    </row>
    <row r="112" spans="1:152" s="496" customFormat="1" ht="13.5" customHeight="1">
      <c r="A112" s="483" t="s">
        <v>43</v>
      </c>
      <c r="B112" s="502">
        <v>0</v>
      </c>
      <c r="C112" s="502">
        <v>0</v>
      </c>
      <c r="D112" s="502">
        <v>0</v>
      </c>
      <c r="E112" s="502">
        <v>0</v>
      </c>
      <c r="J112" s="486"/>
      <c r="K112" s="486"/>
      <c r="L112" s="486"/>
      <c r="M112" s="486"/>
      <c r="V112" s="497"/>
      <c r="AF112" s="497"/>
      <c r="AP112" s="497"/>
      <c r="AZ112" s="497"/>
      <c r="BJ112" s="497"/>
      <c r="BT112" s="497"/>
      <c r="CD112" s="497"/>
      <c r="CN112" s="497"/>
      <c r="CX112" s="497"/>
      <c r="DH112" s="497"/>
      <c r="DR112" s="497"/>
      <c r="EB112" s="489"/>
      <c r="EC112" s="488"/>
      <c r="ED112" s="488"/>
      <c r="EE112" s="488"/>
      <c r="EF112" s="488"/>
      <c r="EG112" s="488"/>
      <c r="EH112" s="488"/>
      <c r="EI112" s="488"/>
      <c r="EJ112" s="488"/>
      <c r="EK112" s="488"/>
      <c r="EL112" s="489"/>
      <c r="EM112" s="488"/>
      <c r="EN112" s="488"/>
      <c r="EO112" s="488"/>
      <c r="EP112" s="488"/>
      <c r="EQ112" s="488"/>
      <c r="ER112" s="488"/>
      <c r="ES112" s="488"/>
      <c r="ET112" s="488"/>
      <c r="EU112" s="488"/>
      <c r="EV112" s="489"/>
    </row>
    <row r="113" spans="1:152" s="496" customFormat="1" ht="13.5" customHeight="1">
      <c r="A113" s="6" t="s">
        <v>7</v>
      </c>
      <c r="B113" s="1277">
        <v>308</v>
      </c>
      <c r="C113" s="1277">
        <v>296</v>
      </c>
      <c r="D113" s="1277">
        <v>254</v>
      </c>
      <c r="E113" s="1278">
        <v>235</v>
      </c>
      <c r="V113" s="497"/>
      <c r="AF113" s="497"/>
      <c r="AP113" s="497"/>
      <c r="AZ113" s="497"/>
      <c r="BJ113" s="497"/>
      <c r="BT113" s="497"/>
      <c r="CD113" s="497"/>
      <c r="CN113" s="497"/>
      <c r="CX113" s="497"/>
      <c r="DH113" s="497"/>
      <c r="DR113" s="497"/>
      <c r="EB113" s="489"/>
      <c r="EC113" s="488"/>
      <c r="ED113" s="488"/>
      <c r="EE113" s="488"/>
      <c r="EF113" s="488"/>
      <c r="EG113" s="488"/>
      <c r="EH113" s="488"/>
      <c r="EI113" s="488"/>
      <c r="EJ113" s="488"/>
      <c r="EK113" s="488"/>
      <c r="EL113" s="489"/>
      <c r="EM113" s="488"/>
      <c r="EN113" s="488"/>
      <c r="EO113" s="488"/>
      <c r="EP113" s="488"/>
      <c r="EQ113" s="488"/>
      <c r="ER113" s="488"/>
      <c r="ES113" s="488"/>
      <c r="ET113" s="488"/>
      <c r="EU113" s="488"/>
      <c r="EV113" s="489"/>
    </row>
    <row r="114" s="496" customFormat="1" ht="13.5" customHeight="1"/>
    <row r="115" spans="1:152" s="496" customFormat="1" ht="13.5" customHeight="1">
      <c r="A115" s="53"/>
      <c r="B115" s="503"/>
      <c r="C115" s="503"/>
      <c r="D115" s="503"/>
      <c r="E115" s="504"/>
      <c r="V115" s="497"/>
      <c r="AF115" s="497"/>
      <c r="AP115" s="497"/>
      <c r="AZ115" s="497"/>
      <c r="BJ115" s="497"/>
      <c r="BT115" s="497"/>
      <c r="CD115" s="497"/>
      <c r="CN115" s="497"/>
      <c r="CX115" s="497"/>
      <c r="DH115" s="497"/>
      <c r="DR115" s="497"/>
      <c r="EB115" s="489"/>
      <c r="EC115" s="488"/>
      <c r="ED115" s="488"/>
      <c r="EE115" s="488"/>
      <c r="EF115" s="488"/>
      <c r="EG115" s="488"/>
      <c r="EH115" s="488"/>
      <c r="EI115" s="488"/>
      <c r="EJ115" s="488"/>
      <c r="EK115" s="488"/>
      <c r="EL115" s="489"/>
      <c r="EM115" s="488"/>
      <c r="EN115" s="488"/>
      <c r="EO115" s="488"/>
      <c r="EP115" s="488"/>
      <c r="EQ115" s="488"/>
      <c r="ER115" s="488"/>
      <c r="ES115" s="488"/>
      <c r="ET115" s="488"/>
      <c r="EU115" s="488"/>
      <c r="EV115" s="489"/>
    </row>
    <row r="116" spans="1:152" s="496" customFormat="1" ht="13.5" customHeight="1">
      <c r="A116" s="53"/>
      <c r="B116" s="503"/>
      <c r="C116" s="503"/>
      <c r="D116" s="503"/>
      <c r="E116" s="504"/>
      <c r="V116" s="497"/>
      <c r="AF116" s="497"/>
      <c r="AP116" s="497"/>
      <c r="AZ116" s="497"/>
      <c r="BJ116" s="497"/>
      <c r="BT116" s="497"/>
      <c r="CD116" s="497"/>
      <c r="CN116" s="497"/>
      <c r="CX116" s="497"/>
      <c r="DH116" s="497"/>
      <c r="DR116" s="497"/>
      <c r="EB116" s="489"/>
      <c r="EC116" s="488"/>
      <c r="ED116" s="488"/>
      <c r="EE116" s="488"/>
      <c r="EF116" s="488"/>
      <c r="EG116" s="488"/>
      <c r="EH116" s="488"/>
      <c r="EI116" s="488"/>
      <c r="EJ116" s="488"/>
      <c r="EK116" s="488"/>
      <c r="EL116" s="489"/>
      <c r="EM116" s="488"/>
      <c r="EN116" s="488"/>
      <c r="EO116" s="488"/>
      <c r="EP116" s="488"/>
      <c r="EQ116" s="488"/>
      <c r="ER116" s="488"/>
      <c r="ES116" s="488"/>
      <c r="ET116" s="488"/>
      <c r="EU116" s="488"/>
      <c r="EV116" s="489"/>
    </row>
    <row r="117" spans="1:152" s="496" customFormat="1" ht="13.5" customHeight="1">
      <c r="A117" s="53"/>
      <c r="B117" s="503"/>
      <c r="C117" s="503"/>
      <c r="D117" s="503"/>
      <c r="E117" s="504"/>
      <c r="V117" s="497"/>
      <c r="AF117" s="497"/>
      <c r="AP117" s="497"/>
      <c r="AZ117" s="497"/>
      <c r="BJ117" s="497"/>
      <c r="BT117" s="497"/>
      <c r="CD117" s="497"/>
      <c r="CN117" s="497"/>
      <c r="CX117" s="497"/>
      <c r="DH117" s="497"/>
      <c r="DR117" s="497"/>
      <c r="EB117" s="489"/>
      <c r="EC117" s="488"/>
      <c r="ED117" s="488"/>
      <c r="EE117" s="488"/>
      <c r="EF117" s="488"/>
      <c r="EG117" s="488"/>
      <c r="EH117" s="488"/>
      <c r="EI117" s="488"/>
      <c r="EJ117" s="488"/>
      <c r="EK117" s="488"/>
      <c r="EL117" s="489"/>
      <c r="EM117" s="488"/>
      <c r="EN117" s="488"/>
      <c r="EO117" s="488"/>
      <c r="EP117" s="488"/>
      <c r="EQ117" s="488"/>
      <c r="ER117" s="488"/>
      <c r="ES117" s="488"/>
      <c r="ET117" s="488"/>
      <c r="EU117" s="488"/>
      <c r="EV117" s="489"/>
    </row>
    <row r="118" spans="1:152" s="496" customFormat="1" ht="13.5" customHeight="1">
      <c r="A118" s="53"/>
      <c r="B118" s="503"/>
      <c r="C118" s="503"/>
      <c r="D118" s="503"/>
      <c r="E118" s="503"/>
      <c r="V118" s="497"/>
      <c r="AF118" s="497"/>
      <c r="AP118" s="497"/>
      <c r="AZ118" s="497"/>
      <c r="BJ118" s="497"/>
      <c r="BT118" s="497"/>
      <c r="CD118" s="497"/>
      <c r="CN118" s="497"/>
      <c r="CX118" s="497"/>
      <c r="DH118" s="497"/>
      <c r="DR118" s="497"/>
      <c r="EB118" s="489"/>
      <c r="EC118" s="488"/>
      <c r="ED118" s="488"/>
      <c r="EE118" s="488"/>
      <c r="EF118" s="488"/>
      <c r="EG118" s="488"/>
      <c r="EH118" s="488"/>
      <c r="EI118" s="488"/>
      <c r="EJ118" s="488"/>
      <c r="EK118" s="488"/>
      <c r="EL118" s="489"/>
      <c r="EM118" s="488"/>
      <c r="EN118" s="488"/>
      <c r="EO118" s="488"/>
      <c r="EP118" s="488"/>
      <c r="EQ118" s="488"/>
      <c r="ER118" s="488"/>
      <c r="ES118" s="488"/>
      <c r="ET118" s="488"/>
      <c r="EU118" s="488"/>
      <c r="EV118" s="489"/>
    </row>
    <row r="119" spans="1:152" s="496" customFormat="1" ht="13.5" customHeight="1">
      <c r="A119" s="53"/>
      <c r="B119" s="503"/>
      <c r="C119" s="503"/>
      <c r="D119" s="503"/>
      <c r="E119" s="503"/>
      <c r="V119" s="497"/>
      <c r="AF119" s="497"/>
      <c r="AP119" s="497"/>
      <c r="AZ119" s="497"/>
      <c r="BJ119" s="497"/>
      <c r="BT119" s="497"/>
      <c r="CD119" s="497"/>
      <c r="CN119" s="497"/>
      <c r="CX119" s="497"/>
      <c r="DH119" s="497"/>
      <c r="DR119" s="497"/>
      <c r="EB119" s="489"/>
      <c r="EC119" s="488"/>
      <c r="ED119" s="488"/>
      <c r="EE119" s="488"/>
      <c r="EF119" s="488"/>
      <c r="EG119" s="488"/>
      <c r="EH119" s="488"/>
      <c r="EI119" s="488"/>
      <c r="EJ119" s="488"/>
      <c r="EK119" s="488"/>
      <c r="EL119" s="489"/>
      <c r="EM119" s="488"/>
      <c r="EN119" s="488"/>
      <c r="EO119" s="488"/>
      <c r="EP119" s="488"/>
      <c r="EQ119" s="488"/>
      <c r="ER119" s="488"/>
      <c r="ES119" s="488"/>
      <c r="ET119" s="488"/>
      <c r="EU119" s="488"/>
      <c r="EV119" s="489"/>
    </row>
    <row r="120" spans="1:152" s="496" customFormat="1" ht="13.5" customHeight="1">
      <c r="A120" s="53"/>
      <c r="B120" s="503"/>
      <c r="C120" s="503"/>
      <c r="D120" s="503"/>
      <c r="E120" s="503"/>
      <c r="V120" s="497"/>
      <c r="AF120" s="497"/>
      <c r="AP120" s="497"/>
      <c r="AZ120" s="497"/>
      <c r="BJ120" s="497"/>
      <c r="BT120" s="497"/>
      <c r="CD120" s="497"/>
      <c r="CN120" s="497"/>
      <c r="CX120" s="497"/>
      <c r="DH120" s="497"/>
      <c r="DR120" s="497"/>
      <c r="EB120" s="489"/>
      <c r="EC120" s="488"/>
      <c r="ED120" s="488"/>
      <c r="EE120" s="488"/>
      <c r="EF120" s="488"/>
      <c r="EG120" s="488"/>
      <c r="EH120" s="488"/>
      <c r="EI120" s="488"/>
      <c r="EJ120" s="488"/>
      <c r="EK120" s="488"/>
      <c r="EL120" s="489"/>
      <c r="EM120" s="488"/>
      <c r="EN120" s="488"/>
      <c r="EO120" s="488"/>
      <c r="EP120" s="488"/>
      <c r="EQ120" s="488"/>
      <c r="ER120" s="488"/>
      <c r="ES120" s="488"/>
      <c r="ET120" s="488"/>
      <c r="EU120" s="488"/>
      <c r="EV120" s="489"/>
    </row>
    <row r="121" spans="1:152" s="496" customFormat="1" ht="13.5" customHeight="1">
      <c r="A121" s="53"/>
      <c r="B121" s="503"/>
      <c r="C121" s="503"/>
      <c r="D121" s="503"/>
      <c r="E121" s="503"/>
      <c r="V121" s="497"/>
      <c r="AF121" s="497"/>
      <c r="AP121" s="497"/>
      <c r="AZ121" s="497"/>
      <c r="BJ121" s="497"/>
      <c r="BT121" s="497"/>
      <c r="CD121" s="497"/>
      <c r="CN121" s="497"/>
      <c r="CX121" s="497"/>
      <c r="DH121" s="497"/>
      <c r="DR121" s="497"/>
      <c r="EB121" s="489"/>
      <c r="EC121" s="488"/>
      <c r="ED121" s="488"/>
      <c r="EE121" s="488"/>
      <c r="EF121" s="488"/>
      <c r="EG121" s="488"/>
      <c r="EH121" s="488"/>
      <c r="EI121" s="488"/>
      <c r="EJ121" s="488"/>
      <c r="EK121" s="488"/>
      <c r="EL121" s="489"/>
      <c r="EM121" s="488"/>
      <c r="EN121" s="488"/>
      <c r="EO121" s="488"/>
      <c r="EP121" s="488"/>
      <c r="EQ121" s="488"/>
      <c r="ER121" s="488"/>
      <c r="ES121" s="488"/>
      <c r="ET121" s="488"/>
      <c r="EU121" s="488"/>
      <c r="EV121" s="489"/>
    </row>
    <row r="122" spans="1:152" s="496" customFormat="1" ht="13.5" customHeight="1">
      <c r="A122" s="53"/>
      <c r="B122" s="503"/>
      <c r="C122" s="503"/>
      <c r="D122" s="503"/>
      <c r="E122" s="503"/>
      <c r="V122" s="497"/>
      <c r="AF122" s="497"/>
      <c r="AP122" s="497"/>
      <c r="AZ122" s="497"/>
      <c r="BJ122" s="497"/>
      <c r="BT122" s="497"/>
      <c r="CD122" s="497"/>
      <c r="CN122" s="497"/>
      <c r="CX122" s="497"/>
      <c r="DH122" s="497"/>
      <c r="DR122" s="497"/>
      <c r="EB122" s="489"/>
      <c r="EC122" s="488"/>
      <c r="ED122" s="488"/>
      <c r="EE122" s="488"/>
      <c r="EF122" s="488"/>
      <c r="EG122" s="488"/>
      <c r="EH122" s="488"/>
      <c r="EI122" s="488"/>
      <c r="EJ122" s="488"/>
      <c r="EK122" s="488"/>
      <c r="EL122" s="489"/>
      <c r="EM122" s="488"/>
      <c r="EN122" s="488"/>
      <c r="EO122" s="488"/>
      <c r="EP122" s="488"/>
      <c r="EQ122" s="488"/>
      <c r="ER122" s="488"/>
      <c r="ES122" s="488"/>
      <c r="ET122" s="488"/>
      <c r="EU122" s="488"/>
      <c r="EV122" s="489"/>
    </row>
    <row r="123" spans="1:152" s="496" customFormat="1" ht="13.5" customHeight="1">
      <c r="A123" s="53"/>
      <c r="B123" s="503"/>
      <c r="C123" s="503"/>
      <c r="D123" s="503"/>
      <c r="E123" s="503"/>
      <c r="V123" s="497"/>
      <c r="AF123" s="497"/>
      <c r="AP123" s="497"/>
      <c r="AZ123" s="497"/>
      <c r="BJ123" s="497"/>
      <c r="BT123" s="497"/>
      <c r="CD123" s="497"/>
      <c r="CN123" s="497"/>
      <c r="CX123" s="497"/>
      <c r="DH123" s="497"/>
      <c r="DR123" s="497"/>
      <c r="EB123" s="489"/>
      <c r="EC123" s="488"/>
      <c r="ED123" s="488"/>
      <c r="EE123" s="488"/>
      <c r="EF123" s="488"/>
      <c r="EG123" s="488"/>
      <c r="EH123" s="488"/>
      <c r="EI123" s="488"/>
      <c r="EJ123" s="488"/>
      <c r="EK123" s="488"/>
      <c r="EL123" s="489"/>
      <c r="EM123" s="488"/>
      <c r="EN123" s="488"/>
      <c r="EO123" s="488"/>
      <c r="EP123" s="488"/>
      <c r="EQ123" s="488"/>
      <c r="ER123" s="488"/>
      <c r="ES123" s="488"/>
      <c r="ET123" s="488"/>
      <c r="EU123" s="488"/>
      <c r="EV123" s="489"/>
    </row>
    <row r="124" spans="1:152" s="496" customFormat="1" ht="13.5" customHeight="1">
      <c r="A124" s="53"/>
      <c r="B124" s="503"/>
      <c r="C124" s="503"/>
      <c r="D124" s="503"/>
      <c r="E124" s="503"/>
      <c r="V124" s="497"/>
      <c r="AF124" s="497"/>
      <c r="AP124" s="497"/>
      <c r="AZ124" s="497"/>
      <c r="BJ124" s="497"/>
      <c r="BT124" s="497"/>
      <c r="CD124" s="497"/>
      <c r="CN124" s="497"/>
      <c r="CX124" s="497"/>
      <c r="DH124" s="497"/>
      <c r="DR124" s="497"/>
      <c r="EB124" s="489"/>
      <c r="EC124" s="488"/>
      <c r="ED124" s="488"/>
      <c r="EE124" s="488"/>
      <c r="EF124" s="488"/>
      <c r="EG124" s="488"/>
      <c r="EH124" s="488"/>
      <c r="EI124" s="488"/>
      <c r="EJ124" s="488"/>
      <c r="EK124" s="488"/>
      <c r="EL124" s="489"/>
      <c r="EM124" s="488"/>
      <c r="EN124" s="488"/>
      <c r="EO124" s="488"/>
      <c r="EP124" s="488"/>
      <c r="EQ124" s="488"/>
      <c r="ER124" s="488"/>
      <c r="ES124" s="488"/>
      <c r="ET124" s="488"/>
      <c r="EU124" s="488"/>
      <c r="EV124" s="489"/>
    </row>
    <row r="125" spans="1:152" s="496" customFormat="1" ht="13.5" customHeight="1">
      <c r="A125" s="53"/>
      <c r="B125" s="504"/>
      <c r="C125" s="504"/>
      <c r="D125" s="504"/>
      <c r="E125" s="504"/>
      <c r="V125" s="497"/>
      <c r="AF125" s="497"/>
      <c r="AP125" s="497"/>
      <c r="AZ125" s="497"/>
      <c r="BJ125" s="497"/>
      <c r="BT125" s="497"/>
      <c r="CD125" s="497"/>
      <c r="CN125" s="497"/>
      <c r="CX125" s="497"/>
      <c r="DH125" s="497"/>
      <c r="DR125" s="497"/>
      <c r="EB125" s="489"/>
      <c r="EC125" s="488"/>
      <c r="ED125" s="488"/>
      <c r="EE125" s="488"/>
      <c r="EF125" s="488"/>
      <c r="EG125" s="488"/>
      <c r="EH125" s="488"/>
      <c r="EI125" s="488"/>
      <c r="EJ125" s="488"/>
      <c r="EK125" s="488"/>
      <c r="EL125" s="489"/>
      <c r="EM125" s="488"/>
      <c r="EN125" s="488"/>
      <c r="EO125" s="488"/>
      <c r="EP125" s="488"/>
      <c r="EQ125" s="488"/>
      <c r="ER125" s="488"/>
      <c r="ES125" s="488"/>
      <c r="ET125" s="488"/>
      <c r="EU125" s="488"/>
      <c r="EV125" s="489"/>
    </row>
    <row r="126" spans="1:152" s="496" customFormat="1" ht="13.5" customHeight="1">
      <c r="A126" s="69" t="s">
        <v>52</v>
      </c>
      <c r="D126" s="1264" t="s">
        <v>89</v>
      </c>
      <c r="E126" s="1265"/>
      <c r="F126" s="1265"/>
      <c r="G126" s="1265"/>
      <c r="H126" s="1265"/>
      <c r="I126" s="1265"/>
      <c r="J126" s="1265"/>
      <c r="K126" s="1265"/>
      <c r="L126" s="1268"/>
      <c r="M126" s="1268"/>
      <c r="V126" s="497"/>
      <c r="AF126" s="497"/>
      <c r="AP126" s="497"/>
      <c r="AZ126" s="497"/>
      <c r="BJ126" s="497"/>
      <c r="BT126" s="497"/>
      <c r="CD126" s="497"/>
      <c r="CN126" s="497"/>
      <c r="CX126" s="497"/>
      <c r="DH126" s="497"/>
      <c r="DR126" s="497"/>
      <c r="EB126" s="489"/>
      <c r="EC126" s="488"/>
      <c r="ED126" s="488"/>
      <c r="EE126" s="488"/>
      <c r="EF126" s="488"/>
      <c r="EG126" s="488"/>
      <c r="EH126" s="488"/>
      <c r="EI126" s="488"/>
      <c r="EJ126" s="488"/>
      <c r="EK126" s="488"/>
      <c r="EL126" s="489"/>
      <c r="EM126" s="488"/>
      <c r="EN126" s="488"/>
      <c r="EO126" s="488"/>
      <c r="EP126" s="488"/>
      <c r="EQ126" s="488"/>
      <c r="ER126" s="488"/>
      <c r="ES126" s="488"/>
      <c r="ET126" s="488"/>
      <c r="EU126" s="488"/>
      <c r="EV126" s="489"/>
    </row>
    <row r="127" spans="1:152" s="496" customFormat="1" ht="15" customHeight="1">
      <c r="A127" s="483" t="s">
        <v>43</v>
      </c>
      <c r="B127" s="505">
        <v>0</v>
      </c>
      <c r="C127" s="505">
        <v>0</v>
      </c>
      <c r="D127" s="505">
        <v>0</v>
      </c>
      <c r="E127" s="505">
        <v>0</v>
      </c>
      <c r="F127" s="1272">
        <v>0</v>
      </c>
      <c r="G127" s="505">
        <v>0</v>
      </c>
      <c r="H127" s="505">
        <v>0</v>
      </c>
      <c r="I127" s="505">
        <v>0</v>
      </c>
      <c r="J127" s="505">
        <v>0</v>
      </c>
      <c r="K127" s="1272">
        <v>0</v>
      </c>
      <c r="L127" s="505">
        <v>0</v>
      </c>
      <c r="M127" s="505">
        <v>0</v>
      </c>
      <c r="N127" s="505">
        <v>0</v>
      </c>
      <c r="O127" s="505">
        <v>0</v>
      </c>
      <c r="P127" s="1272">
        <v>0</v>
      </c>
      <c r="Q127" s="505">
        <v>0</v>
      </c>
      <c r="R127" s="505">
        <v>0</v>
      </c>
      <c r="S127" s="505">
        <v>0</v>
      </c>
      <c r="T127" s="505">
        <v>0</v>
      </c>
      <c r="U127" s="1272">
        <v>0</v>
      </c>
      <c r="V127" s="505">
        <v>0</v>
      </c>
      <c r="W127" s="505">
        <v>0</v>
      </c>
      <c r="X127" s="505">
        <v>0</v>
      </c>
      <c r="Y127" s="505">
        <v>0</v>
      </c>
      <c r="Z127" s="1272">
        <v>0</v>
      </c>
      <c r="AA127" s="505">
        <v>0</v>
      </c>
      <c r="AB127" s="505">
        <v>0</v>
      </c>
      <c r="AC127" s="505">
        <v>0</v>
      </c>
      <c r="AD127" s="505">
        <v>0</v>
      </c>
      <c r="AE127" s="1272">
        <v>0</v>
      </c>
      <c r="AF127" s="506">
        <v>0</v>
      </c>
      <c r="AG127" s="505">
        <v>0</v>
      </c>
      <c r="AH127" s="505">
        <v>0</v>
      </c>
      <c r="AI127" s="505">
        <v>0</v>
      </c>
      <c r="AJ127" s="1272">
        <v>0</v>
      </c>
      <c r="AK127" s="505">
        <v>0</v>
      </c>
      <c r="AL127" s="505">
        <v>0</v>
      </c>
      <c r="AM127" s="505">
        <v>0</v>
      </c>
      <c r="AN127" s="505">
        <v>0</v>
      </c>
      <c r="AO127" s="1272">
        <v>0</v>
      </c>
      <c r="AP127" s="505">
        <v>0</v>
      </c>
      <c r="AQ127" s="505">
        <v>0</v>
      </c>
      <c r="AR127" s="505">
        <v>0</v>
      </c>
      <c r="AS127" s="505">
        <v>0</v>
      </c>
      <c r="AT127" s="1272">
        <v>0</v>
      </c>
      <c r="AU127" s="505">
        <v>0</v>
      </c>
      <c r="AV127" s="505">
        <v>0</v>
      </c>
      <c r="AW127" s="505">
        <v>0</v>
      </c>
      <c r="AX127" s="505">
        <v>0</v>
      </c>
      <c r="AY127" s="1272">
        <v>0</v>
      </c>
      <c r="AZ127" s="507">
        <v>0</v>
      </c>
      <c r="BA127" s="505">
        <v>0</v>
      </c>
      <c r="BB127" s="505">
        <v>0</v>
      </c>
      <c r="BC127" s="505">
        <v>0</v>
      </c>
      <c r="BD127" s="1272">
        <v>0</v>
      </c>
      <c r="BE127" s="505">
        <v>0</v>
      </c>
      <c r="BF127" s="505">
        <v>0</v>
      </c>
      <c r="BG127" s="505">
        <v>0</v>
      </c>
      <c r="BH127" s="505">
        <v>0</v>
      </c>
      <c r="BI127" s="1272">
        <v>0</v>
      </c>
      <c r="BJ127" s="505">
        <v>0</v>
      </c>
      <c r="BK127" s="505">
        <v>0</v>
      </c>
      <c r="BL127" s="505">
        <v>0</v>
      </c>
      <c r="BM127" s="505">
        <v>0</v>
      </c>
      <c r="BN127" s="505">
        <v>0</v>
      </c>
      <c r="BO127" s="505">
        <v>0</v>
      </c>
      <c r="BP127" s="505">
        <v>0</v>
      </c>
      <c r="BQ127" s="505">
        <v>0</v>
      </c>
      <c r="BR127" s="505">
        <v>0</v>
      </c>
      <c r="BS127" s="505">
        <v>0</v>
      </c>
      <c r="BT127" s="507">
        <v>0</v>
      </c>
      <c r="BU127" s="505">
        <v>0</v>
      </c>
      <c r="BV127" s="505">
        <v>0</v>
      </c>
      <c r="BW127" s="505">
        <v>0</v>
      </c>
      <c r="BX127" s="505">
        <v>0</v>
      </c>
      <c r="BY127" s="505">
        <v>0</v>
      </c>
      <c r="BZ127" s="505">
        <v>0</v>
      </c>
      <c r="CA127" s="505">
        <v>0</v>
      </c>
      <c r="CB127" s="505">
        <v>0</v>
      </c>
      <c r="CC127" s="505">
        <v>0</v>
      </c>
      <c r="CD127" s="505">
        <v>0</v>
      </c>
      <c r="CE127" s="505">
        <v>0</v>
      </c>
      <c r="CF127" s="505">
        <v>0</v>
      </c>
      <c r="CG127" s="505">
        <v>0</v>
      </c>
      <c r="CH127" s="505">
        <v>0</v>
      </c>
      <c r="CI127" s="505">
        <v>0</v>
      </c>
      <c r="CJ127" s="505">
        <v>0</v>
      </c>
      <c r="CK127" s="505">
        <v>0</v>
      </c>
      <c r="CL127" s="505">
        <v>0</v>
      </c>
      <c r="CM127" s="505">
        <v>0</v>
      </c>
      <c r="CN127" s="505">
        <v>0</v>
      </c>
      <c r="CO127" s="505">
        <v>0</v>
      </c>
      <c r="CP127" s="505">
        <v>0</v>
      </c>
      <c r="CQ127" s="505">
        <v>0</v>
      </c>
      <c r="CR127" s="505">
        <v>0</v>
      </c>
      <c r="CS127" s="505">
        <v>0</v>
      </c>
      <c r="CT127" s="505">
        <v>0</v>
      </c>
      <c r="CU127" s="505">
        <v>0</v>
      </c>
      <c r="CV127" s="505">
        <v>0</v>
      </c>
      <c r="CW127" s="505">
        <v>0</v>
      </c>
      <c r="CX127" s="505">
        <v>0</v>
      </c>
      <c r="CY127" s="505">
        <v>0</v>
      </c>
      <c r="CZ127" s="505">
        <v>0</v>
      </c>
      <c r="DA127" s="505">
        <v>0</v>
      </c>
      <c r="DB127" s="505">
        <v>0</v>
      </c>
      <c r="DC127" s="505">
        <v>0</v>
      </c>
      <c r="DD127" s="505">
        <v>0</v>
      </c>
      <c r="DE127" s="505">
        <v>0</v>
      </c>
      <c r="DF127" s="505">
        <v>0</v>
      </c>
      <c r="DG127" s="505">
        <v>0</v>
      </c>
      <c r="DH127" s="505">
        <v>0</v>
      </c>
      <c r="DI127" s="505">
        <v>0</v>
      </c>
      <c r="DJ127" s="505">
        <v>0</v>
      </c>
      <c r="DK127" s="505">
        <v>0</v>
      </c>
      <c r="DL127" s="505">
        <v>0</v>
      </c>
      <c r="DM127" s="505">
        <v>0</v>
      </c>
      <c r="DN127" s="505">
        <v>0</v>
      </c>
      <c r="DO127" s="505">
        <v>0</v>
      </c>
      <c r="DP127" s="505">
        <v>0</v>
      </c>
      <c r="DQ127" s="505">
        <v>0</v>
      </c>
      <c r="DR127" s="505">
        <v>0</v>
      </c>
      <c r="DS127" s="505">
        <v>0</v>
      </c>
      <c r="DT127" s="505">
        <v>0</v>
      </c>
      <c r="DU127" s="505">
        <v>0</v>
      </c>
      <c r="DV127" s="505">
        <v>0</v>
      </c>
      <c r="DW127" s="505">
        <v>0</v>
      </c>
      <c r="DX127" s="505">
        <v>0</v>
      </c>
      <c r="DY127" s="505">
        <v>0</v>
      </c>
      <c r="DZ127" s="505">
        <v>0</v>
      </c>
      <c r="EA127" s="505">
        <v>0</v>
      </c>
      <c r="EB127" s="505">
        <v>0</v>
      </c>
      <c r="EC127" s="505">
        <v>0</v>
      </c>
      <c r="ED127" s="505">
        <v>0</v>
      </c>
      <c r="EE127" s="505">
        <v>0</v>
      </c>
      <c r="EF127" s="505">
        <v>0</v>
      </c>
      <c r="EG127" s="505">
        <v>0</v>
      </c>
      <c r="EH127" s="505">
        <v>0</v>
      </c>
      <c r="EI127" s="505">
        <v>0</v>
      </c>
      <c r="EJ127" s="505">
        <v>0</v>
      </c>
      <c r="EK127" s="505">
        <v>0</v>
      </c>
      <c r="EL127" s="505">
        <v>0</v>
      </c>
      <c r="EM127" s="505">
        <v>0</v>
      </c>
      <c r="EN127" s="505">
        <v>0</v>
      </c>
      <c r="EO127" s="505">
        <v>0</v>
      </c>
      <c r="EP127" s="505">
        <v>0</v>
      </c>
      <c r="EQ127" s="505">
        <v>0</v>
      </c>
      <c r="ER127" s="505">
        <v>0</v>
      </c>
      <c r="ES127" s="505">
        <v>0</v>
      </c>
      <c r="ET127" s="505">
        <v>0</v>
      </c>
      <c r="EU127" s="505">
        <v>0</v>
      </c>
      <c r="EV127" s="505">
        <v>0</v>
      </c>
    </row>
    <row r="128" spans="1:152" s="496" customFormat="1" ht="15" customHeight="1">
      <c r="A128" s="6" t="s">
        <v>7</v>
      </c>
      <c r="B128" s="1272">
        <v>1.2</v>
      </c>
      <c r="C128" s="1272">
        <v>1.1933333333333334</v>
      </c>
      <c r="D128" s="1272">
        <v>1.1866666666666668</v>
      </c>
      <c r="E128" s="1272">
        <v>1.18</v>
      </c>
      <c r="F128" s="1272">
        <v>1.1733333333333336</v>
      </c>
      <c r="G128" s="1272">
        <v>1.166666666666667</v>
      </c>
      <c r="H128" s="1272">
        <v>1.16</v>
      </c>
      <c r="I128" s="1272">
        <v>1.1533333333333338</v>
      </c>
      <c r="J128" s="1272">
        <v>1.1466666666666672</v>
      </c>
      <c r="K128" s="1272">
        <v>1.14</v>
      </c>
      <c r="L128" s="1272">
        <v>1.133333333333334</v>
      </c>
      <c r="M128" s="1272">
        <v>1.1266666666666674</v>
      </c>
      <c r="N128" s="1272">
        <v>1.12</v>
      </c>
      <c r="O128" s="1272">
        <v>1.1133333333333342</v>
      </c>
      <c r="P128" s="1272">
        <v>1.1066666666666676</v>
      </c>
      <c r="Q128" s="1272">
        <v>1.1</v>
      </c>
      <c r="R128" s="1272">
        <v>1.0933333333333344</v>
      </c>
      <c r="S128" s="1272">
        <v>1.0866666666666678</v>
      </c>
      <c r="T128" s="1272">
        <v>1.08</v>
      </c>
      <c r="U128" s="1272">
        <v>1.0733333333333346</v>
      </c>
      <c r="V128" s="1272">
        <v>1.066666666666668</v>
      </c>
      <c r="W128" s="1272">
        <v>1.06</v>
      </c>
      <c r="X128" s="1272">
        <v>1.0533333333333348</v>
      </c>
      <c r="Y128" s="1272">
        <v>1.0466666666666682</v>
      </c>
      <c r="Z128" s="1272">
        <v>1.04</v>
      </c>
      <c r="AA128" s="1272">
        <v>1.033333333333335</v>
      </c>
      <c r="AB128" s="1272">
        <v>1.0266666666666684</v>
      </c>
      <c r="AC128" s="1272">
        <v>1.02</v>
      </c>
      <c r="AD128" s="1272">
        <v>1.0133333333333352</v>
      </c>
      <c r="AE128" s="1272">
        <v>1.0066666666666686</v>
      </c>
      <c r="AF128" s="1279">
        <v>1</v>
      </c>
      <c r="AG128" s="1279">
        <v>1</v>
      </c>
      <c r="AH128" s="1279">
        <v>1</v>
      </c>
      <c r="AI128" s="1279">
        <v>1</v>
      </c>
      <c r="AJ128" s="1279">
        <v>1</v>
      </c>
      <c r="AK128" s="1279">
        <v>1</v>
      </c>
      <c r="AL128" s="1279">
        <v>1</v>
      </c>
      <c r="AM128" s="1279">
        <v>1</v>
      </c>
      <c r="AN128" s="1279">
        <v>1</v>
      </c>
      <c r="AO128" s="1279">
        <v>1</v>
      </c>
      <c r="AP128" s="1279">
        <v>1</v>
      </c>
      <c r="AQ128" s="1279">
        <v>1</v>
      </c>
      <c r="AR128" s="1279">
        <v>1</v>
      </c>
      <c r="AS128" s="1279">
        <v>1</v>
      </c>
      <c r="AT128" s="1279">
        <v>1</v>
      </c>
      <c r="AU128" s="1279">
        <v>1</v>
      </c>
      <c r="AV128" s="1279">
        <v>1</v>
      </c>
      <c r="AW128" s="1279">
        <v>1</v>
      </c>
      <c r="AX128" s="1279">
        <v>1</v>
      </c>
      <c r="AY128" s="1279">
        <v>1</v>
      </c>
      <c r="AZ128" s="1279">
        <v>1</v>
      </c>
      <c r="BA128" s="1272">
        <v>1</v>
      </c>
      <c r="BB128" s="1272">
        <v>1</v>
      </c>
      <c r="BC128" s="1272">
        <v>1</v>
      </c>
      <c r="BD128" s="1272">
        <v>1</v>
      </c>
      <c r="BE128" s="1272">
        <v>1</v>
      </c>
      <c r="BF128" s="1272">
        <v>1</v>
      </c>
      <c r="BG128" s="1272">
        <v>1</v>
      </c>
      <c r="BH128" s="1272">
        <v>1</v>
      </c>
      <c r="BI128" s="1272">
        <v>1</v>
      </c>
      <c r="BJ128" s="1272">
        <v>1</v>
      </c>
      <c r="BK128" s="1272">
        <v>1</v>
      </c>
      <c r="BL128" s="1272">
        <v>1</v>
      </c>
      <c r="BM128" s="1272">
        <v>1</v>
      </c>
      <c r="BN128" s="1272">
        <v>1</v>
      </c>
      <c r="BO128" s="1272">
        <v>1</v>
      </c>
      <c r="BP128" s="1272">
        <v>1</v>
      </c>
      <c r="BQ128" s="1272">
        <v>1</v>
      </c>
      <c r="BR128" s="1272">
        <v>1</v>
      </c>
      <c r="BS128" s="1272">
        <v>1</v>
      </c>
      <c r="BT128" s="1279">
        <v>1</v>
      </c>
      <c r="BU128" s="1272">
        <v>1</v>
      </c>
      <c r="BV128" s="1272">
        <v>1</v>
      </c>
      <c r="BW128" s="1272">
        <v>1</v>
      </c>
      <c r="BX128" s="1272">
        <v>1</v>
      </c>
      <c r="BY128" s="1272">
        <v>1</v>
      </c>
      <c r="BZ128" s="1272">
        <v>1</v>
      </c>
      <c r="CA128" s="1272">
        <v>1</v>
      </c>
      <c r="CB128" s="1272">
        <v>1</v>
      </c>
      <c r="CC128" s="1272">
        <v>1</v>
      </c>
      <c r="CD128" s="1272">
        <v>1</v>
      </c>
      <c r="CE128" s="1272">
        <v>1</v>
      </c>
      <c r="CF128" s="1272">
        <v>1</v>
      </c>
      <c r="CG128" s="1272">
        <v>1</v>
      </c>
      <c r="CH128" s="1272">
        <v>1</v>
      </c>
      <c r="CI128" s="1272">
        <v>1</v>
      </c>
      <c r="CJ128" s="1272">
        <v>1</v>
      </c>
      <c r="CK128" s="1272">
        <v>1</v>
      </c>
      <c r="CL128" s="1272">
        <v>1</v>
      </c>
      <c r="CM128" s="1272">
        <v>1</v>
      </c>
      <c r="CN128" s="1272">
        <v>1</v>
      </c>
      <c r="CO128" s="1272">
        <v>1</v>
      </c>
      <c r="CP128" s="1272">
        <v>1</v>
      </c>
      <c r="CQ128" s="1272">
        <v>1</v>
      </c>
      <c r="CR128" s="1272">
        <v>1</v>
      </c>
      <c r="CS128" s="1272">
        <v>1</v>
      </c>
      <c r="CT128" s="1272">
        <v>1</v>
      </c>
      <c r="CU128" s="1272">
        <v>1</v>
      </c>
      <c r="CV128" s="1272">
        <v>1</v>
      </c>
      <c r="CW128" s="1272">
        <v>1</v>
      </c>
      <c r="CX128" s="1272">
        <v>1</v>
      </c>
      <c r="CY128" s="1272">
        <v>1</v>
      </c>
      <c r="CZ128" s="1272">
        <v>1</v>
      </c>
      <c r="DA128" s="1272">
        <v>1</v>
      </c>
      <c r="DB128" s="1272">
        <v>1</v>
      </c>
      <c r="DC128" s="1272">
        <v>1</v>
      </c>
      <c r="DD128" s="1272">
        <v>1</v>
      </c>
      <c r="DE128" s="1272">
        <v>1</v>
      </c>
      <c r="DF128" s="1272">
        <v>1</v>
      </c>
      <c r="DG128" s="1272">
        <v>1</v>
      </c>
      <c r="DH128" s="1272">
        <v>1</v>
      </c>
      <c r="DI128" s="1272">
        <v>1</v>
      </c>
      <c r="DJ128" s="1272">
        <v>1</v>
      </c>
      <c r="DK128" s="1272">
        <v>1</v>
      </c>
      <c r="DL128" s="1272">
        <v>1</v>
      </c>
      <c r="DM128" s="1272">
        <v>1</v>
      </c>
      <c r="DN128" s="1272">
        <v>1</v>
      </c>
      <c r="DO128" s="1272">
        <v>1</v>
      </c>
      <c r="DP128" s="1272">
        <v>1</v>
      </c>
      <c r="DQ128" s="1272">
        <v>1</v>
      </c>
      <c r="DR128" s="1272">
        <v>1</v>
      </c>
      <c r="DS128" s="1272">
        <v>1</v>
      </c>
      <c r="DT128" s="1272">
        <v>1</v>
      </c>
      <c r="DU128" s="1272">
        <v>1</v>
      </c>
      <c r="DV128" s="1272">
        <v>1</v>
      </c>
      <c r="DW128" s="1272">
        <v>1</v>
      </c>
      <c r="DX128" s="1272">
        <v>1</v>
      </c>
      <c r="DY128" s="1272">
        <v>1</v>
      </c>
      <c r="DZ128" s="1272">
        <v>1</v>
      </c>
      <c r="EA128" s="1272">
        <v>1</v>
      </c>
      <c r="EB128" s="1272">
        <v>1</v>
      </c>
      <c r="EC128" s="1272">
        <v>1</v>
      </c>
      <c r="ED128" s="1272">
        <v>1</v>
      </c>
      <c r="EE128" s="1272">
        <v>1</v>
      </c>
      <c r="EF128" s="1272">
        <v>1</v>
      </c>
      <c r="EG128" s="1272">
        <v>1</v>
      </c>
      <c r="EH128" s="1272">
        <v>1</v>
      </c>
      <c r="EI128" s="1272">
        <v>1</v>
      </c>
      <c r="EJ128" s="1272">
        <v>1</v>
      </c>
      <c r="EK128" s="1272">
        <v>1</v>
      </c>
      <c r="EL128" s="1272">
        <v>1</v>
      </c>
      <c r="EM128" s="1272">
        <v>1</v>
      </c>
      <c r="EN128" s="1272">
        <v>1</v>
      </c>
      <c r="EO128" s="1272">
        <v>1</v>
      </c>
      <c r="EP128" s="1272">
        <v>1</v>
      </c>
      <c r="EQ128" s="1272">
        <v>1</v>
      </c>
      <c r="ER128" s="1272">
        <v>1</v>
      </c>
      <c r="ES128" s="1272">
        <v>1</v>
      </c>
      <c r="ET128" s="1272">
        <v>1</v>
      </c>
      <c r="EU128" s="1272">
        <v>1</v>
      </c>
      <c r="EV128" s="1272">
        <v>1</v>
      </c>
    </row>
    <row r="129" s="496" customFormat="1" ht="15" customHeight="1"/>
    <row r="130" spans="1:152" s="496" customFormat="1" ht="15" customHeight="1">
      <c r="A130" s="53"/>
      <c r="B130" s="508"/>
      <c r="C130" s="508"/>
      <c r="D130" s="508"/>
      <c r="E130" s="508"/>
      <c r="F130" s="508"/>
      <c r="G130" s="508"/>
      <c r="H130" s="508"/>
      <c r="I130" s="508"/>
      <c r="J130" s="508"/>
      <c r="K130" s="508"/>
      <c r="L130" s="508"/>
      <c r="M130" s="508"/>
      <c r="N130" s="508"/>
      <c r="O130" s="508"/>
      <c r="P130" s="508"/>
      <c r="Q130" s="508"/>
      <c r="R130" s="508"/>
      <c r="S130" s="508"/>
      <c r="T130" s="508"/>
      <c r="U130" s="508"/>
      <c r="V130" s="508"/>
      <c r="W130" s="508"/>
      <c r="X130" s="508"/>
      <c r="Y130" s="508"/>
      <c r="Z130" s="508"/>
      <c r="AA130" s="508"/>
      <c r="AB130" s="508"/>
      <c r="AC130" s="508"/>
      <c r="AD130" s="508"/>
      <c r="AE130" s="508"/>
      <c r="AF130" s="509"/>
      <c r="AG130" s="509"/>
      <c r="AH130" s="509"/>
      <c r="AI130" s="509"/>
      <c r="AJ130" s="509"/>
      <c r="AK130" s="509"/>
      <c r="AL130" s="509"/>
      <c r="AM130" s="509"/>
      <c r="AN130" s="509"/>
      <c r="AO130" s="509"/>
      <c r="AP130" s="509"/>
      <c r="AQ130" s="509"/>
      <c r="AR130" s="509"/>
      <c r="AS130" s="509"/>
      <c r="AT130" s="509"/>
      <c r="AU130" s="509"/>
      <c r="AV130" s="509"/>
      <c r="AW130" s="509"/>
      <c r="AX130" s="509"/>
      <c r="AY130" s="509"/>
      <c r="AZ130" s="509"/>
      <c r="BA130" s="508"/>
      <c r="BB130" s="508"/>
      <c r="BC130" s="508"/>
      <c r="BD130" s="508"/>
      <c r="BE130" s="508"/>
      <c r="BF130" s="508"/>
      <c r="BG130" s="508"/>
      <c r="BH130" s="508"/>
      <c r="BI130" s="508"/>
      <c r="BJ130" s="508"/>
      <c r="BK130" s="508"/>
      <c r="BL130" s="508"/>
      <c r="BM130" s="508"/>
      <c r="BN130" s="508"/>
      <c r="BO130" s="508"/>
      <c r="BP130" s="508"/>
      <c r="BQ130" s="508"/>
      <c r="BR130" s="508"/>
      <c r="BS130" s="508"/>
      <c r="BT130" s="509"/>
      <c r="BU130" s="508"/>
      <c r="BV130" s="508"/>
      <c r="BW130" s="508"/>
      <c r="BX130" s="508"/>
      <c r="BY130" s="508"/>
      <c r="BZ130" s="508"/>
      <c r="CA130" s="508"/>
      <c r="CB130" s="508"/>
      <c r="CC130" s="508"/>
      <c r="CD130" s="508"/>
      <c r="CE130" s="508"/>
      <c r="CF130" s="508"/>
      <c r="CG130" s="508"/>
      <c r="CH130" s="508"/>
      <c r="CI130" s="508"/>
      <c r="CJ130" s="508"/>
      <c r="CK130" s="508"/>
      <c r="CL130" s="508"/>
      <c r="CM130" s="508"/>
      <c r="CN130" s="508"/>
      <c r="CO130" s="508"/>
      <c r="CP130" s="508"/>
      <c r="CQ130" s="508"/>
      <c r="CR130" s="508"/>
      <c r="CS130" s="508"/>
      <c r="CT130" s="508"/>
      <c r="CU130" s="508"/>
      <c r="CV130" s="508"/>
      <c r="CW130" s="508"/>
      <c r="CX130" s="508"/>
      <c r="CY130" s="508"/>
      <c r="CZ130" s="508"/>
      <c r="DA130" s="508"/>
      <c r="DB130" s="508"/>
      <c r="DC130" s="508"/>
      <c r="DD130" s="508"/>
      <c r="DE130" s="508"/>
      <c r="DF130" s="508"/>
      <c r="DG130" s="508"/>
      <c r="DH130" s="508"/>
      <c r="DI130" s="508"/>
      <c r="DJ130" s="508"/>
      <c r="DK130" s="508"/>
      <c r="DL130" s="508"/>
      <c r="DM130" s="508"/>
      <c r="DN130" s="508"/>
      <c r="DO130" s="508"/>
      <c r="DP130" s="508"/>
      <c r="DQ130" s="508"/>
      <c r="DR130" s="508"/>
      <c r="DS130" s="508"/>
      <c r="DT130" s="508"/>
      <c r="DU130" s="508"/>
      <c r="DV130" s="508"/>
      <c r="DW130" s="508"/>
      <c r="DX130" s="508"/>
      <c r="DY130" s="508"/>
      <c r="DZ130" s="508"/>
      <c r="EA130" s="508"/>
      <c r="EB130" s="508"/>
      <c r="EC130" s="508"/>
      <c r="ED130" s="508"/>
      <c r="EE130" s="508"/>
      <c r="EF130" s="508"/>
      <c r="EG130" s="508"/>
      <c r="EH130" s="508"/>
      <c r="EI130" s="508"/>
      <c r="EJ130" s="508"/>
      <c r="EK130" s="508"/>
      <c r="EL130" s="508"/>
      <c r="EM130" s="508"/>
      <c r="EN130" s="508"/>
      <c r="EO130" s="508"/>
      <c r="EP130" s="508"/>
      <c r="EQ130" s="508"/>
      <c r="ER130" s="508"/>
      <c r="ES130" s="508"/>
      <c r="ET130" s="508"/>
      <c r="EU130" s="508"/>
      <c r="EV130" s="508"/>
    </row>
    <row r="131" spans="1:152" s="496" customFormat="1" ht="15" customHeight="1">
      <c r="A131" s="53"/>
      <c r="B131" s="508"/>
      <c r="C131" s="508"/>
      <c r="D131" s="508"/>
      <c r="E131" s="508"/>
      <c r="F131" s="508"/>
      <c r="G131" s="508"/>
      <c r="H131" s="508"/>
      <c r="I131" s="508"/>
      <c r="J131" s="508"/>
      <c r="K131" s="508"/>
      <c r="L131" s="508"/>
      <c r="M131" s="508"/>
      <c r="N131" s="508"/>
      <c r="O131" s="508"/>
      <c r="P131" s="508"/>
      <c r="Q131" s="508"/>
      <c r="R131" s="508"/>
      <c r="S131" s="508"/>
      <c r="T131" s="508"/>
      <c r="U131" s="508"/>
      <c r="V131" s="508"/>
      <c r="W131" s="508"/>
      <c r="X131" s="508"/>
      <c r="Y131" s="508"/>
      <c r="Z131" s="508"/>
      <c r="AA131" s="508"/>
      <c r="AB131" s="508"/>
      <c r="AC131" s="508"/>
      <c r="AD131" s="508"/>
      <c r="AE131" s="508"/>
      <c r="AF131" s="509"/>
      <c r="AG131" s="509"/>
      <c r="AH131" s="509"/>
      <c r="AI131" s="509"/>
      <c r="AJ131" s="509"/>
      <c r="AK131" s="509"/>
      <c r="AL131" s="509"/>
      <c r="AM131" s="509"/>
      <c r="AN131" s="509"/>
      <c r="AO131" s="509"/>
      <c r="AP131" s="509"/>
      <c r="AQ131" s="509"/>
      <c r="AR131" s="509"/>
      <c r="AS131" s="509"/>
      <c r="AT131" s="509"/>
      <c r="AU131" s="509"/>
      <c r="AV131" s="509"/>
      <c r="AW131" s="509"/>
      <c r="AX131" s="509"/>
      <c r="AY131" s="509"/>
      <c r="AZ131" s="509"/>
      <c r="BA131" s="508"/>
      <c r="BB131" s="508"/>
      <c r="BC131" s="508"/>
      <c r="BD131" s="508"/>
      <c r="BE131" s="508"/>
      <c r="BF131" s="508"/>
      <c r="BG131" s="508"/>
      <c r="BH131" s="508"/>
      <c r="BI131" s="508"/>
      <c r="BJ131" s="508"/>
      <c r="BK131" s="508"/>
      <c r="BL131" s="508"/>
      <c r="BM131" s="508"/>
      <c r="BN131" s="508"/>
      <c r="BO131" s="508"/>
      <c r="BP131" s="508"/>
      <c r="BQ131" s="508"/>
      <c r="BR131" s="508"/>
      <c r="BS131" s="508"/>
      <c r="BT131" s="509"/>
      <c r="BU131" s="508"/>
      <c r="BV131" s="508"/>
      <c r="BW131" s="508"/>
      <c r="BX131" s="508"/>
      <c r="BY131" s="508"/>
      <c r="BZ131" s="508"/>
      <c r="CA131" s="508"/>
      <c r="CB131" s="508"/>
      <c r="CC131" s="508"/>
      <c r="CD131" s="508"/>
      <c r="CE131" s="508"/>
      <c r="CF131" s="508"/>
      <c r="CG131" s="508"/>
      <c r="CH131" s="508"/>
      <c r="CI131" s="508"/>
      <c r="CJ131" s="508"/>
      <c r="CK131" s="508"/>
      <c r="CL131" s="508"/>
      <c r="CM131" s="508"/>
      <c r="CN131" s="508"/>
      <c r="CO131" s="508"/>
      <c r="CP131" s="508"/>
      <c r="CQ131" s="508"/>
      <c r="CR131" s="508"/>
      <c r="CS131" s="508"/>
      <c r="CT131" s="508"/>
      <c r="CU131" s="508"/>
      <c r="CV131" s="508"/>
      <c r="CW131" s="508"/>
      <c r="CX131" s="508"/>
      <c r="CY131" s="508"/>
      <c r="CZ131" s="508"/>
      <c r="DA131" s="508"/>
      <c r="DB131" s="508"/>
      <c r="DC131" s="508"/>
      <c r="DD131" s="508"/>
      <c r="DE131" s="508"/>
      <c r="DF131" s="508"/>
      <c r="DG131" s="508"/>
      <c r="DH131" s="508"/>
      <c r="DI131" s="508"/>
      <c r="DJ131" s="508"/>
      <c r="DK131" s="508"/>
      <c r="DL131" s="508"/>
      <c r="DM131" s="508"/>
      <c r="DN131" s="508"/>
      <c r="DO131" s="508"/>
      <c r="DP131" s="508"/>
      <c r="DQ131" s="508"/>
      <c r="DR131" s="508"/>
      <c r="DS131" s="508"/>
      <c r="DT131" s="508"/>
      <c r="DU131" s="508"/>
      <c r="DV131" s="508"/>
      <c r="DW131" s="508"/>
      <c r="DX131" s="508"/>
      <c r="DY131" s="508"/>
      <c r="DZ131" s="508"/>
      <c r="EA131" s="508"/>
      <c r="EB131" s="508"/>
      <c r="EC131" s="508"/>
      <c r="ED131" s="508"/>
      <c r="EE131" s="508"/>
      <c r="EF131" s="508"/>
      <c r="EG131" s="508"/>
      <c r="EH131" s="508"/>
      <c r="EI131" s="508"/>
      <c r="EJ131" s="508"/>
      <c r="EK131" s="508"/>
      <c r="EL131" s="508"/>
      <c r="EM131" s="508"/>
      <c r="EN131" s="508"/>
      <c r="EO131" s="508"/>
      <c r="EP131" s="508"/>
      <c r="EQ131" s="508"/>
      <c r="ER131" s="508"/>
      <c r="ES131" s="508"/>
      <c r="ET131" s="508"/>
      <c r="EU131" s="508"/>
      <c r="EV131" s="508"/>
    </row>
    <row r="132" spans="1:152" s="496" customFormat="1" ht="15" customHeight="1">
      <c r="A132" s="53"/>
      <c r="B132" s="508"/>
      <c r="C132" s="508"/>
      <c r="D132" s="508"/>
      <c r="E132" s="508"/>
      <c r="F132" s="508"/>
      <c r="G132" s="508"/>
      <c r="H132" s="508"/>
      <c r="I132" s="508"/>
      <c r="J132" s="508"/>
      <c r="K132" s="508"/>
      <c r="L132" s="508"/>
      <c r="M132" s="508"/>
      <c r="N132" s="508"/>
      <c r="O132" s="508"/>
      <c r="P132" s="508"/>
      <c r="Q132" s="508"/>
      <c r="R132" s="508"/>
      <c r="S132" s="508"/>
      <c r="T132" s="508"/>
      <c r="U132" s="508"/>
      <c r="V132" s="508"/>
      <c r="W132" s="508"/>
      <c r="X132" s="508"/>
      <c r="Y132" s="508"/>
      <c r="Z132" s="508"/>
      <c r="AA132" s="508"/>
      <c r="AB132" s="508"/>
      <c r="AC132" s="508"/>
      <c r="AD132" s="508"/>
      <c r="AE132" s="508"/>
      <c r="AF132" s="509"/>
      <c r="AG132" s="509"/>
      <c r="AH132" s="509"/>
      <c r="AI132" s="509"/>
      <c r="AJ132" s="509"/>
      <c r="AK132" s="509"/>
      <c r="AL132" s="509"/>
      <c r="AM132" s="509"/>
      <c r="AN132" s="509"/>
      <c r="AO132" s="509"/>
      <c r="AP132" s="509"/>
      <c r="AQ132" s="509"/>
      <c r="AR132" s="509"/>
      <c r="AS132" s="509"/>
      <c r="AT132" s="509"/>
      <c r="AU132" s="509"/>
      <c r="AV132" s="509"/>
      <c r="AW132" s="509"/>
      <c r="AX132" s="509"/>
      <c r="AY132" s="509"/>
      <c r="AZ132" s="509"/>
      <c r="BA132" s="508"/>
      <c r="BB132" s="508"/>
      <c r="BC132" s="508"/>
      <c r="BD132" s="508"/>
      <c r="BE132" s="508"/>
      <c r="BF132" s="508"/>
      <c r="BG132" s="508"/>
      <c r="BH132" s="508"/>
      <c r="BI132" s="508"/>
      <c r="BJ132" s="508"/>
      <c r="BK132" s="508"/>
      <c r="BL132" s="508"/>
      <c r="BM132" s="508"/>
      <c r="BN132" s="508"/>
      <c r="BO132" s="508"/>
      <c r="BP132" s="508"/>
      <c r="BQ132" s="508"/>
      <c r="BR132" s="508"/>
      <c r="BS132" s="508"/>
      <c r="BT132" s="509"/>
      <c r="BU132" s="508"/>
      <c r="BV132" s="508"/>
      <c r="BW132" s="508"/>
      <c r="BX132" s="508"/>
      <c r="BY132" s="508"/>
      <c r="BZ132" s="508"/>
      <c r="CA132" s="508"/>
      <c r="CB132" s="508"/>
      <c r="CC132" s="508"/>
      <c r="CD132" s="508"/>
      <c r="CE132" s="508"/>
      <c r="CF132" s="508"/>
      <c r="CG132" s="508"/>
      <c r="CH132" s="508"/>
      <c r="CI132" s="508"/>
      <c r="CJ132" s="508"/>
      <c r="CK132" s="508"/>
      <c r="CL132" s="508"/>
      <c r="CM132" s="508"/>
      <c r="CN132" s="508"/>
      <c r="CO132" s="508"/>
      <c r="CP132" s="508"/>
      <c r="CQ132" s="508"/>
      <c r="CR132" s="508"/>
      <c r="CS132" s="508"/>
      <c r="CT132" s="508"/>
      <c r="CU132" s="508"/>
      <c r="CV132" s="508"/>
      <c r="CW132" s="508"/>
      <c r="CX132" s="508"/>
      <c r="CY132" s="508"/>
      <c r="CZ132" s="508"/>
      <c r="DA132" s="508"/>
      <c r="DB132" s="508"/>
      <c r="DC132" s="508"/>
      <c r="DD132" s="508"/>
      <c r="DE132" s="508"/>
      <c r="DF132" s="508"/>
      <c r="DG132" s="508"/>
      <c r="DH132" s="508"/>
      <c r="DI132" s="508"/>
      <c r="DJ132" s="508"/>
      <c r="DK132" s="508"/>
      <c r="DL132" s="508"/>
      <c r="DM132" s="508"/>
      <c r="DN132" s="508"/>
      <c r="DO132" s="508"/>
      <c r="DP132" s="508"/>
      <c r="DQ132" s="508"/>
      <c r="DR132" s="508"/>
      <c r="DS132" s="508"/>
      <c r="DT132" s="508"/>
      <c r="DU132" s="508"/>
      <c r="DV132" s="508"/>
      <c r="DW132" s="508"/>
      <c r="DX132" s="508"/>
      <c r="DY132" s="508"/>
      <c r="DZ132" s="508"/>
      <c r="EA132" s="508"/>
      <c r="EB132" s="508"/>
      <c r="EC132" s="508"/>
      <c r="ED132" s="508"/>
      <c r="EE132" s="508"/>
      <c r="EF132" s="508"/>
      <c r="EG132" s="508"/>
      <c r="EH132" s="508"/>
      <c r="EI132" s="508"/>
      <c r="EJ132" s="508"/>
      <c r="EK132" s="508"/>
      <c r="EL132" s="508"/>
      <c r="EM132" s="508"/>
      <c r="EN132" s="508"/>
      <c r="EO132" s="508"/>
      <c r="EP132" s="508"/>
      <c r="EQ132" s="508"/>
      <c r="ER132" s="508"/>
      <c r="ES132" s="508"/>
      <c r="ET132" s="508"/>
      <c r="EU132" s="508"/>
      <c r="EV132" s="508"/>
    </row>
    <row r="133" spans="1:152" s="496" customFormat="1" ht="15" customHeight="1">
      <c r="A133" s="53"/>
      <c r="B133" s="508"/>
      <c r="C133" s="508"/>
      <c r="D133" s="508"/>
      <c r="E133" s="508"/>
      <c r="F133" s="508"/>
      <c r="G133" s="508"/>
      <c r="H133" s="508"/>
      <c r="I133" s="508"/>
      <c r="J133" s="508"/>
      <c r="K133" s="508"/>
      <c r="L133" s="508"/>
      <c r="M133" s="508"/>
      <c r="N133" s="508"/>
      <c r="O133" s="508"/>
      <c r="P133" s="508"/>
      <c r="Q133" s="508"/>
      <c r="R133" s="508"/>
      <c r="S133" s="508"/>
      <c r="T133" s="508"/>
      <c r="U133" s="508"/>
      <c r="V133" s="508"/>
      <c r="W133" s="508"/>
      <c r="X133" s="508"/>
      <c r="Y133" s="508"/>
      <c r="Z133" s="508"/>
      <c r="AA133" s="508"/>
      <c r="AB133" s="508"/>
      <c r="AC133" s="508"/>
      <c r="AD133" s="508"/>
      <c r="AE133" s="508"/>
      <c r="AF133" s="509"/>
      <c r="AG133" s="508"/>
      <c r="AH133" s="508"/>
      <c r="AI133" s="508"/>
      <c r="AJ133" s="508"/>
      <c r="AK133" s="508"/>
      <c r="AL133" s="508"/>
      <c r="AM133" s="508"/>
      <c r="AN133" s="508"/>
      <c r="AO133" s="508"/>
      <c r="AP133" s="508"/>
      <c r="AQ133" s="508"/>
      <c r="AR133" s="508"/>
      <c r="AS133" s="508"/>
      <c r="AT133" s="508"/>
      <c r="AU133" s="508"/>
      <c r="AV133" s="508"/>
      <c r="AW133" s="508"/>
      <c r="AX133" s="508"/>
      <c r="AY133" s="508"/>
      <c r="AZ133" s="509"/>
      <c r="BA133" s="508"/>
      <c r="BB133" s="508"/>
      <c r="BC133" s="508"/>
      <c r="BD133" s="508"/>
      <c r="BE133" s="508"/>
      <c r="BF133" s="508"/>
      <c r="BG133" s="508"/>
      <c r="BH133" s="508"/>
      <c r="BI133" s="508"/>
      <c r="BJ133" s="508"/>
      <c r="BK133" s="508"/>
      <c r="BL133" s="508"/>
      <c r="BM133" s="508"/>
      <c r="BN133" s="508"/>
      <c r="BO133" s="508"/>
      <c r="BP133" s="508"/>
      <c r="BQ133" s="508"/>
      <c r="BR133" s="508"/>
      <c r="BS133" s="508"/>
      <c r="BT133" s="509"/>
      <c r="BU133" s="508"/>
      <c r="BV133" s="508"/>
      <c r="BW133" s="508"/>
      <c r="BX133" s="508"/>
      <c r="BY133" s="508"/>
      <c r="BZ133" s="508"/>
      <c r="CA133" s="508"/>
      <c r="CB133" s="508"/>
      <c r="CC133" s="508"/>
      <c r="CD133" s="508"/>
      <c r="CE133" s="508"/>
      <c r="CF133" s="508"/>
      <c r="CG133" s="508"/>
      <c r="CH133" s="508"/>
      <c r="CI133" s="508"/>
      <c r="CJ133" s="508"/>
      <c r="CK133" s="508"/>
      <c r="CL133" s="508"/>
      <c r="CM133" s="508"/>
      <c r="CN133" s="508"/>
      <c r="CO133" s="508"/>
      <c r="CP133" s="508"/>
      <c r="CQ133" s="508"/>
      <c r="CR133" s="508"/>
      <c r="CS133" s="508"/>
      <c r="CT133" s="508"/>
      <c r="CU133" s="508"/>
      <c r="CV133" s="508"/>
      <c r="CW133" s="508"/>
      <c r="CX133" s="508"/>
      <c r="CY133" s="508"/>
      <c r="CZ133" s="508"/>
      <c r="DA133" s="508"/>
      <c r="DB133" s="508"/>
      <c r="DC133" s="508"/>
      <c r="DD133" s="508"/>
      <c r="DE133" s="508"/>
      <c r="DF133" s="508"/>
      <c r="DG133" s="508"/>
      <c r="DH133" s="508"/>
      <c r="DI133" s="508"/>
      <c r="DJ133" s="508"/>
      <c r="DK133" s="508"/>
      <c r="DL133" s="508"/>
      <c r="DM133" s="508"/>
      <c r="DN133" s="508"/>
      <c r="DO133" s="508"/>
      <c r="DP133" s="508"/>
      <c r="DQ133" s="508"/>
      <c r="DR133" s="508"/>
      <c r="DS133" s="508"/>
      <c r="DT133" s="508"/>
      <c r="DU133" s="508"/>
      <c r="DV133" s="508"/>
      <c r="DW133" s="508"/>
      <c r="DX133" s="508"/>
      <c r="DY133" s="508"/>
      <c r="DZ133" s="508"/>
      <c r="EA133" s="508"/>
      <c r="EB133" s="508"/>
      <c r="EC133" s="508"/>
      <c r="ED133" s="508"/>
      <c r="EE133" s="508"/>
      <c r="EF133" s="508"/>
      <c r="EG133" s="508"/>
      <c r="EH133" s="508"/>
      <c r="EI133" s="508"/>
      <c r="EJ133" s="508"/>
      <c r="EK133" s="508"/>
      <c r="EL133" s="508"/>
      <c r="EM133" s="508"/>
      <c r="EN133" s="508"/>
      <c r="EO133" s="508"/>
      <c r="EP133" s="508"/>
      <c r="EQ133" s="508"/>
      <c r="ER133" s="508"/>
      <c r="ES133" s="508"/>
      <c r="ET133" s="508"/>
      <c r="EU133" s="508"/>
      <c r="EV133" s="508"/>
    </row>
    <row r="134" spans="1:152" s="496" customFormat="1" ht="15" customHeight="1">
      <c r="A134" s="53"/>
      <c r="B134" s="508"/>
      <c r="C134" s="508"/>
      <c r="D134" s="508"/>
      <c r="E134" s="508"/>
      <c r="F134" s="508"/>
      <c r="G134" s="508"/>
      <c r="H134" s="508"/>
      <c r="I134" s="508"/>
      <c r="J134" s="508"/>
      <c r="K134" s="508"/>
      <c r="L134" s="508"/>
      <c r="M134" s="508"/>
      <c r="N134" s="508"/>
      <c r="O134" s="508"/>
      <c r="P134" s="508"/>
      <c r="Q134" s="508"/>
      <c r="R134" s="508"/>
      <c r="S134" s="508"/>
      <c r="T134" s="508"/>
      <c r="U134" s="508"/>
      <c r="V134" s="508"/>
      <c r="W134" s="508"/>
      <c r="X134" s="508"/>
      <c r="Y134" s="508"/>
      <c r="Z134" s="508"/>
      <c r="AA134" s="508"/>
      <c r="AB134" s="508"/>
      <c r="AC134" s="508"/>
      <c r="AD134" s="508"/>
      <c r="AE134" s="508"/>
      <c r="AF134" s="509"/>
      <c r="AG134" s="509"/>
      <c r="AH134" s="509"/>
      <c r="AI134" s="509"/>
      <c r="AJ134" s="509"/>
      <c r="AK134" s="509"/>
      <c r="AL134" s="509"/>
      <c r="AM134" s="509"/>
      <c r="AN134" s="509"/>
      <c r="AO134" s="509"/>
      <c r="AP134" s="509"/>
      <c r="AQ134" s="509"/>
      <c r="AR134" s="509"/>
      <c r="AS134" s="509"/>
      <c r="AT134" s="509"/>
      <c r="AU134" s="509"/>
      <c r="AV134" s="509"/>
      <c r="AW134" s="509"/>
      <c r="AX134" s="509"/>
      <c r="AY134" s="509"/>
      <c r="AZ134" s="509"/>
      <c r="BA134" s="508"/>
      <c r="BB134" s="508"/>
      <c r="BC134" s="508"/>
      <c r="BD134" s="508"/>
      <c r="BE134" s="508"/>
      <c r="BF134" s="508"/>
      <c r="BG134" s="508"/>
      <c r="BH134" s="508"/>
      <c r="BI134" s="508"/>
      <c r="BJ134" s="508"/>
      <c r="BK134" s="508"/>
      <c r="BL134" s="508"/>
      <c r="BM134" s="508"/>
      <c r="BN134" s="508"/>
      <c r="BO134" s="508"/>
      <c r="BP134" s="508"/>
      <c r="BQ134" s="508"/>
      <c r="BR134" s="508"/>
      <c r="BS134" s="508"/>
      <c r="BT134" s="509"/>
      <c r="BU134" s="508"/>
      <c r="BV134" s="508"/>
      <c r="BW134" s="508"/>
      <c r="BX134" s="508"/>
      <c r="BY134" s="508"/>
      <c r="BZ134" s="508"/>
      <c r="CA134" s="508"/>
      <c r="CB134" s="508"/>
      <c r="CC134" s="508"/>
      <c r="CD134" s="508"/>
      <c r="CE134" s="508"/>
      <c r="CF134" s="508"/>
      <c r="CG134" s="508"/>
      <c r="CH134" s="508"/>
      <c r="CI134" s="508"/>
      <c r="CJ134" s="508"/>
      <c r="CK134" s="508"/>
      <c r="CL134" s="508"/>
      <c r="CM134" s="508"/>
      <c r="CN134" s="508"/>
      <c r="CO134" s="508"/>
      <c r="CP134" s="508"/>
      <c r="CQ134" s="508"/>
      <c r="CR134" s="508"/>
      <c r="CS134" s="508"/>
      <c r="CT134" s="508"/>
      <c r="CU134" s="508"/>
      <c r="CV134" s="508"/>
      <c r="CW134" s="508"/>
      <c r="CX134" s="508"/>
      <c r="CY134" s="508"/>
      <c r="CZ134" s="508"/>
      <c r="DA134" s="508"/>
      <c r="DB134" s="508"/>
      <c r="DC134" s="508"/>
      <c r="DD134" s="508"/>
      <c r="DE134" s="508"/>
      <c r="DF134" s="508"/>
      <c r="DG134" s="508"/>
      <c r="DH134" s="508"/>
      <c r="DI134" s="508"/>
      <c r="DJ134" s="508"/>
      <c r="DK134" s="508"/>
      <c r="DL134" s="508"/>
      <c r="DM134" s="508"/>
      <c r="DN134" s="508"/>
      <c r="DO134" s="508"/>
      <c r="DP134" s="508"/>
      <c r="DQ134" s="508"/>
      <c r="DR134" s="508"/>
      <c r="DS134" s="508"/>
      <c r="DT134" s="508"/>
      <c r="DU134" s="508"/>
      <c r="DV134" s="508"/>
      <c r="DW134" s="508"/>
      <c r="DX134" s="508"/>
      <c r="DY134" s="508"/>
      <c r="DZ134" s="508"/>
      <c r="EA134" s="508"/>
      <c r="EB134" s="508"/>
      <c r="EC134" s="508"/>
      <c r="ED134" s="508"/>
      <c r="EE134" s="508"/>
      <c r="EF134" s="508"/>
      <c r="EG134" s="508"/>
      <c r="EH134" s="508"/>
      <c r="EI134" s="508"/>
      <c r="EJ134" s="508"/>
      <c r="EK134" s="508"/>
      <c r="EL134" s="508"/>
      <c r="EM134" s="508"/>
      <c r="EN134" s="508"/>
      <c r="EO134" s="508"/>
      <c r="EP134" s="508"/>
      <c r="EQ134" s="508"/>
      <c r="ER134" s="508"/>
      <c r="ES134" s="508"/>
      <c r="ET134" s="508"/>
      <c r="EU134" s="508"/>
      <c r="EV134" s="508"/>
    </row>
    <row r="135" spans="1:152" s="496" customFormat="1" ht="15" customHeight="1">
      <c r="A135" s="53"/>
      <c r="B135" s="508"/>
      <c r="C135" s="508"/>
      <c r="D135" s="508"/>
      <c r="E135" s="508"/>
      <c r="F135" s="508"/>
      <c r="G135" s="508"/>
      <c r="H135" s="508"/>
      <c r="I135" s="508"/>
      <c r="J135" s="508"/>
      <c r="K135" s="508"/>
      <c r="L135" s="508"/>
      <c r="M135" s="508"/>
      <c r="N135" s="508"/>
      <c r="O135" s="508"/>
      <c r="P135" s="508"/>
      <c r="Q135" s="508"/>
      <c r="R135" s="508"/>
      <c r="S135" s="508"/>
      <c r="T135" s="508"/>
      <c r="U135" s="508"/>
      <c r="V135" s="508"/>
      <c r="W135" s="508"/>
      <c r="X135" s="508"/>
      <c r="Y135" s="508"/>
      <c r="Z135" s="508"/>
      <c r="AA135" s="508"/>
      <c r="AB135" s="508"/>
      <c r="AC135" s="508"/>
      <c r="AD135" s="508"/>
      <c r="AE135" s="508"/>
      <c r="AF135" s="509"/>
      <c r="AG135" s="509"/>
      <c r="AH135" s="509"/>
      <c r="AI135" s="509"/>
      <c r="AJ135" s="509"/>
      <c r="AK135" s="509"/>
      <c r="AL135" s="509"/>
      <c r="AM135" s="509"/>
      <c r="AN135" s="509"/>
      <c r="AO135" s="509"/>
      <c r="AP135" s="509"/>
      <c r="AQ135" s="509"/>
      <c r="AR135" s="509"/>
      <c r="AS135" s="509"/>
      <c r="AT135" s="509"/>
      <c r="AU135" s="509"/>
      <c r="AV135" s="509"/>
      <c r="AW135" s="509"/>
      <c r="AX135" s="509"/>
      <c r="AY135" s="509"/>
      <c r="AZ135" s="509"/>
      <c r="BA135" s="508"/>
      <c r="BB135" s="508"/>
      <c r="BC135" s="508"/>
      <c r="BD135" s="508"/>
      <c r="BE135" s="508"/>
      <c r="BF135" s="508"/>
      <c r="BG135" s="508"/>
      <c r="BH135" s="508"/>
      <c r="BI135" s="508"/>
      <c r="BJ135" s="508"/>
      <c r="BK135" s="508"/>
      <c r="BL135" s="508"/>
      <c r="BM135" s="508"/>
      <c r="BN135" s="508"/>
      <c r="BO135" s="508"/>
      <c r="BP135" s="508"/>
      <c r="BQ135" s="508"/>
      <c r="BR135" s="508"/>
      <c r="BS135" s="508"/>
      <c r="BT135" s="509"/>
      <c r="BU135" s="508"/>
      <c r="BV135" s="508"/>
      <c r="BW135" s="508"/>
      <c r="BX135" s="508"/>
      <c r="BY135" s="508"/>
      <c r="BZ135" s="508"/>
      <c r="CA135" s="508"/>
      <c r="CB135" s="508"/>
      <c r="CC135" s="508"/>
      <c r="CD135" s="508"/>
      <c r="CE135" s="508"/>
      <c r="CF135" s="508"/>
      <c r="CG135" s="508"/>
      <c r="CH135" s="508"/>
      <c r="CI135" s="508"/>
      <c r="CJ135" s="508"/>
      <c r="CK135" s="508"/>
      <c r="CL135" s="508"/>
      <c r="CM135" s="508"/>
      <c r="CN135" s="508"/>
      <c r="CO135" s="508"/>
      <c r="CP135" s="508"/>
      <c r="CQ135" s="508"/>
      <c r="CR135" s="508"/>
      <c r="CS135" s="508"/>
      <c r="CT135" s="508"/>
      <c r="CU135" s="508"/>
      <c r="CV135" s="508"/>
      <c r="CW135" s="508"/>
      <c r="CX135" s="508"/>
      <c r="CY135" s="508"/>
      <c r="CZ135" s="508"/>
      <c r="DA135" s="508"/>
      <c r="DB135" s="508"/>
      <c r="DC135" s="508"/>
      <c r="DD135" s="508"/>
      <c r="DE135" s="508"/>
      <c r="DF135" s="508"/>
      <c r="DG135" s="508"/>
      <c r="DH135" s="508"/>
      <c r="DI135" s="508"/>
      <c r="DJ135" s="508"/>
      <c r="DK135" s="508"/>
      <c r="DL135" s="508"/>
      <c r="DM135" s="508"/>
      <c r="DN135" s="508"/>
      <c r="DO135" s="508"/>
      <c r="DP135" s="508"/>
      <c r="DQ135" s="508"/>
      <c r="DR135" s="508"/>
      <c r="DS135" s="508"/>
      <c r="DT135" s="508"/>
      <c r="DU135" s="508"/>
      <c r="DV135" s="508"/>
      <c r="DW135" s="508"/>
      <c r="DX135" s="508"/>
      <c r="DY135" s="508"/>
      <c r="DZ135" s="508"/>
      <c r="EA135" s="508"/>
      <c r="EB135" s="508"/>
      <c r="EC135" s="508"/>
      <c r="ED135" s="508"/>
      <c r="EE135" s="508"/>
      <c r="EF135" s="508"/>
      <c r="EG135" s="508"/>
      <c r="EH135" s="508"/>
      <c r="EI135" s="508"/>
      <c r="EJ135" s="508"/>
      <c r="EK135" s="508"/>
      <c r="EL135" s="508"/>
      <c r="EM135" s="508"/>
      <c r="EN135" s="508"/>
      <c r="EO135" s="508"/>
      <c r="EP135" s="508"/>
      <c r="EQ135" s="508"/>
      <c r="ER135" s="508"/>
      <c r="ES135" s="508"/>
      <c r="ET135" s="508"/>
      <c r="EU135" s="508"/>
      <c r="EV135" s="508"/>
    </row>
    <row r="136" spans="1:152" s="496" customFormat="1" ht="15" customHeight="1">
      <c r="A136" s="53"/>
      <c r="B136" s="508"/>
      <c r="C136" s="508"/>
      <c r="D136" s="508"/>
      <c r="E136" s="508"/>
      <c r="F136" s="508"/>
      <c r="G136" s="508"/>
      <c r="H136" s="508"/>
      <c r="I136" s="508"/>
      <c r="J136" s="508"/>
      <c r="K136" s="508"/>
      <c r="L136" s="508"/>
      <c r="M136" s="508"/>
      <c r="N136" s="508"/>
      <c r="O136" s="508"/>
      <c r="P136" s="508"/>
      <c r="Q136" s="508"/>
      <c r="R136" s="508"/>
      <c r="S136" s="508"/>
      <c r="T136" s="508"/>
      <c r="U136" s="508"/>
      <c r="V136" s="508"/>
      <c r="W136" s="508"/>
      <c r="X136" s="508"/>
      <c r="Y136" s="508"/>
      <c r="Z136" s="508"/>
      <c r="AA136" s="508"/>
      <c r="AB136" s="508"/>
      <c r="AC136" s="508"/>
      <c r="AD136" s="508"/>
      <c r="AE136" s="508"/>
      <c r="AF136" s="509"/>
      <c r="AG136" s="508"/>
      <c r="AH136" s="508"/>
      <c r="AI136" s="508"/>
      <c r="AJ136" s="508"/>
      <c r="AK136" s="508"/>
      <c r="AL136" s="508"/>
      <c r="AM136" s="508"/>
      <c r="AN136" s="508"/>
      <c r="AO136" s="508"/>
      <c r="AP136" s="508"/>
      <c r="AQ136" s="508"/>
      <c r="AR136" s="508"/>
      <c r="AS136" s="508"/>
      <c r="AT136" s="508"/>
      <c r="AU136" s="508"/>
      <c r="AV136" s="508"/>
      <c r="AW136" s="508"/>
      <c r="AX136" s="508"/>
      <c r="AY136" s="508"/>
      <c r="AZ136" s="510"/>
      <c r="BA136" s="508"/>
      <c r="BB136" s="508"/>
      <c r="BC136" s="508"/>
      <c r="BD136" s="508"/>
      <c r="BE136" s="508"/>
      <c r="BF136" s="508"/>
      <c r="BG136" s="508"/>
      <c r="BH136" s="508"/>
      <c r="BI136" s="508"/>
      <c r="BJ136" s="508"/>
      <c r="BK136" s="508"/>
      <c r="BL136" s="508"/>
      <c r="BM136" s="508"/>
      <c r="BN136" s="508"/>
      <c r="BO136" s="508"/>
      <c r="BP136" s="508"/>
      <c r="BQ136" s="508"/>
      <c r="BR136" s="508"/>
      <c r="BS136" s="508"/>
      <c r="BT136" s="509"/>
      <c r="BU136" s="508"/>
      <c r="BV136" s="508"/>
      <c r="BW136" s="508"/>
      <c r="BX136" s="508"/>
      <c r="BY136" s="508"/>
      <c r="BZ136" s="508"/>
      <c r="CA136" s="508"/>
      <c r="CB136" s="508"/>
      <c r="CC136" s="508"/>
      <c r="CD136" s="508"/>
      <c r="CE136" s="508"/>
      <c r="CF136" s="508"/>
      <c r="CG136" s="508"/>
      <c r="CH136" s="508"/>
      <c r="CI136" s="508"/>
      <c r="CJ136" s="508"/>
      <c r="CK136" s="508"/>
      <c r="CL136" s="508"/>
      <c r="CM136" s="508"/>
      <c r="CN136" s="508"/>
      <c r="CO136" s="508"/>
      <c r="CP136" s="508"/>
      <c r="CQ136" s="508"/>
      <c r="CR136" s="508"/>
      <c r="CS136" s="508"/>
      <c r="CT136" s="508"/>
      <c r="CU136" s="508"/>
      <c r="CV136" s="508"/>
      <c r="CW136" s="508"/>
      <c r="CX136" s="508"/>
      <c r="CY136" s="508"/>
      <c r="CZ136" s="508"/>
      <c r="DA136" s="508"/>
      <c r="DB136" s="508"/>
      <c r="DC136" s="508"/>
      <c r="DD136" s="508"/>
      <c r="DE136" s="508"/>
      <c r="DF136" s="508"/>
      <c r="DG136" s="508"/>
      <c r="DH136" s="508"/>
      <c r="DI136" s="508"/>
      <c r="DJ136" s="508"/>
      <c r="DK136" s="508"/>
      <c r="DL136" s="508"/>
      <c r="DM136" s="508"/>
      <c r="DN136" s="508"/>
      <c r="DO136" s="508"/>
      <c r="DP136" s="508"/>
      <c r="DQ136" s="508"/>
      <c r="DR136" s="508"/>
      <c r="DS136" s="508"/>
      <c r="DT136" s="508"/>
      <c r="DU136" s="508"/>
      <c r="DV136" s="508"/>
      <c r="DW136" s="508"/>
      <c r="DX136" s="508"/>
      <c r="DY136" s="508"/>
      <c r="DZ136" s="508"/>
      <c r="EA136" s="508"/>
      <c r="EB136" s="508"/>
      <c r="EC136" s="508"/>
      <c r="ED136" s="508"/>
      <c r="EE136" s="508"/>
      <c r="EF136" s="508"/>
      <c r="EG136" s="508"/>
      <c r="EH136" s="508"/>
      <c r="EI136" s="508"/>
      <c r="EJ136" s="508"/>
      <c r="EK136" s="508"/>
      <c r="EL136" s="508"/>
      <c r="EM136" s="508"/>
      <c r="EN136" s="508"/>
      <c r="EO136" s="508"/>
      <c r="EP136" s="508"/>
      <c r="EQ136" s="508"/>
      <c r="ER136" s="508"/>
      <c r="ES136" s="508"/>
      <c r="ET136" s="508"/>
      <c r="EU136" s="508"/>
      <c r="EV136" s="508"/>
    </row>
    <row r="137" spans="1:152" s="496" customFormat="1" ht="15" customHeight="1">
      <c r="A137" s="53"/>
      <c r="B137" s="508"/>
      <c r="C137" s="508"/>
      <c r="D137" s="508"/>
      <c r="E137" s="508"/>
      <c r="F137" s="508"/>
      <c r="G137" s="508"/>
      <c r="H137" s="508"/>
      <c r="I137" s="508"/>
      <c r="J137" s="508"/>
      <c r="K137" s="508"/>
      <c r="L137" s="508"/>
      <c r="M137" s="508"/>
      <c r="N137" s="508"/>
      <c r="O137" s="508"/>
      <c r="P137" s="508"/>
      <c r="Q137" s="508"/>
      <c r="R137" s="508"/>
      <c r="S137" s="508"/>
      <c r="T137" s="508"/>
      <c r="U137" s="508"/>
      <c r="V137" s="508"/>
      <c r="W137" s="508"/>
      <c r="X137" s="508"/>
      <c r="Y137" s="508"/>
      <c r="Z137" s="508"/>
      <c r="AA137" s="508"/>
      <c r="AB137" s="508"/>
      <c r="AC137" s="508"/>
      <c r="AD137" s="508"/>
      <c r="AE137" s="508"/>
      <c r="AF137" s="509"/>
      <c r="AG137" s="508"/>
      <c r="AH137" s="508"/>
      <c r="AI137" s="508"/>
      <c r="AJ137" s="508"/>
      <c r="AK137" s="508"/>
      <c r="AL137" s="508"/>
      <c r="AM137" s="508"/>
      <c r="AN137" s="508"/>
      <c r="AO137" s="508"/>
      <c r="AP137" s="508"/>
      <c r="AQ137" s="508"/>
      <c r="AR137" s="508"/>
      <c r="AS137" s="508"/>
      <c r="AT137" s="508"/>
      <c r="AU137" s="508"/>
      <c r="AV137" s="508"/>
      <c r="AW137" s="508"/>
      <c r="AX137" s="508"/>
      <c r="AY137" s="508"/>
      <c r="AZ137" s="509"/>
      <c r="BA137" s="508"/>
      <c r="BB137" s="508"/>
      <c r="BC137" s="508"/>
      <c r="BD137" s="508"/>
      <c r="BE137" s="508"/>
      <c r="BF137" s="508"/>
      <c r="BG137" s="508"/>
      <c r="BH137" s="508"/>
      <c r="BI137" s="508"/>
      <c r="BJ137" s="508"/>
      <c r="BK137" s="508"/>
      <c r="BL137" s="508"/>
      <c r="BM137" s="508"/>
      <c r="BN137" s="508"/>
      <c r="BO137" s="508"/>
      <c r="BP137" s="508"/>
      <c r="BQ137" s="508"/>
      <c r="BR137" s="508"/>
      <c r="BS137" s="508"/>
      <c r="BT137" s="509"/>
      <c r="BU137" s="508"/>
      <c r="BV137" s="508"/>
      <c r="BW137" s="508"/>
      <c r="BX137" s="508"/>
      <c r="BY137" s="508"/>
      <c r="BZ137" s="508"/>
      <c r="CA137" s="508"/>
      <c r="CB137" s="508"/>
      <c r="CC137" s="508"/>
      <c r="CD137" s="508"/>
      <c r="CE137" s="508"/>
      <c r="CF137" s="508"/>
      <c r="CG137" s="508"/>
      <c r="CH137" s="508"/>
      <c r="CI137" s="508"/>
      <c r="CJ137" s="508"/>
      <c r="CK137" s="508"/>
      <c r="CL137" s="508"/>
      <c r="CM137" s="508"/>
      <c r="CN137" s="508"/>
      <c r="CO137" s="508"/>
      <c r="CP137" s="508"/>
      <c r="CQ137" s="508"/>
      <c r="CR137" s="508"/>
      <c r="CS137" s="508"/>
      <c r="CT137" s="508"/>
      <c r="CU137" s="508"/>
      <c r="CV137" s="508"/>
      <c r="CW137" s="508"/>
      <c r="CX137" s="508"/>
      <c r="CY137" s="508"/>
      <c r="CZ137" s="508"/>
      <c r="DA137" s="508"/>
      <c r="DB137" s="508"/>
      <c r="DC137" s="508"/>
      <c r="DD137" s="508"/>
      <c r="DE137" s="508"/>
      <c r="DF137" s="508"/>
      <c r="DG137" s="508"/>
      <c r="DH137" s="508"/>
      <c r="DI137" s="508"/>
      <c r="DJ137" s="508"/>
      <c r="DK137" s="508"/>
      <c r="DL137" s="508"/>
      <c r="DM137" s="508"/>
      <c r="DN137" s="508"/>
      <c r="DO137" s="508"/>
      <c r="DP137" s="508"/>
      <c r="DQ137" s="508"/>
      <c r="DR137" s="508"/>
      <c r="DS137" s="508"/>
      <c r="DT137" s="508"/>
      <c r="DU137" s="508"/>
      <c r="DV137" s="508"/>
      <c r="DW137" s="508"/>
      <c r="DX137" s="508"/>
      <c r="DY137" s="508"/>
      <c r="DZ137" s="508"/>
      <c r="EA137" s="508"/>
      <c r="EB137" s="508"/>
      <c r="EC137" s="508"/>
      <c r="ED137" s="508"/>
      <c r="EE137" s="508"/>
      <c r="EF137" s="508"/>
      <c r="EG137" s="508"/>
      <c r="EH137" s="508"/>
      <c r="EI137" s="508"/>
      <c r="EJ137" s="508"/>
      <c r="EK137" s="508"/>
      <c r="EL137" s="508"/>
      <c r="EM137" s="508"/>
      <c r="EN137" s="508"/>
      <c r="EO137" s="508"/>
      <c r="EP137" s="508"/>
      <c r="EQ137" s="508"/>
      <c r="ER137" s="508"/>
      <c r="ES137" s="508"/>
      <c r="ET137" s="508"/>
      <c r="EU137" s="508"/>
      <c r="EV137" s="508"/>
    </row>
    <row r="138" spans="1:152" s="496" customFormat="1" ht="15" customHeight="1">
      <c r="A138" s="53"/>
      <c r="B138" s="508"/>
      <c r="C138" s="508"/>
      <c r="D138" s="508"/>
      <c r="E138" s="508"/>
      <c r="F138" s="508"/>
      <c r="G138" s="508"/>
      <c r="H138" s="508"/>
      <c r="I138" s="508"/>
      <c r="J138" s="508"/>
      <c r="K138" s="508"/>
      <c r="L138" s="508"/>
      <c r="M138" s="508"/>
      <c r="N138" s="508"/>
      <c r="O138" s="508"/>
      <c r="P138" s="508"/>
      <c r="Q138" s="508"/>
      <c r="R138" s="508"/>
      <c r="S138" s="508"/>
      <c r="T138" s="508"/>
      <c r="U138" s="508"/>
      <c r="V138" s="508"/>
      <c r="W138" s="508"/>
      <c r="X138" s="508"/>
      <c r="Y138" s="508"/>
      <c r="Z138" s="508"/>
      <c r="AA138" s="508"/>
      <c r="AB138" s="508"/>
      <c r="AC138" s="508"/>
      <c r="AD138" s="508"/>
      <c r="AE138" s="508"/>
      <c r="AF138" s="509"/>
      <c r="AG138" s="508"/>
      <c r="AH138" s="508"/>
      <c r="AI138" s="508"/>
      <c r="AJ138" s="508"/>
      <c r="AK138" s="508"/>
      <c r="AL138" s="508"/>
      <c r="AM138" s="508"/>
      <c r="AN138" s="508"/>
      <c r="AO138" s="508"/>
      <c r="AP138" s="508"/>
      <c r="AQ138" s="508"/>
      <c r="AR138" s="508"/>
      <c r="AS138" s="508"/>
      <c r="AT138" s="508"/>
      <c r="AU138" s="508"/>
      <c r="AV138" s="508"/>
      <c r="AW138" s="508"/>
      <c r="AX138" s="508"/>
      <c r="AY138" s="508"/>
      <c r="AZ138" s="509"/>
      <c r="BA138" s="508"/>
      <c r="BB138" s="508"/>
      <c r="BC138" s="508"/>
      <c r="BD138" s="508"/>
      <c r="BE138" s="508"/>
      <c r="BF138" s="508"/>
      <c r="BG138" s="508"/>
      <c r="BH138" s="508"/>
      <c r="BI138" s="508"/>
      <c r="BJ138" s="508"/>
      <c r="BK138" s="508"/>
      <c r="BL138" s="508"/>
      <c r="BM138" s="508"/>
      <c r="BN138" s="508"/>
      <c r="BO138" s="508"/>
      <c r="BP138" s="508"/>
      <c r="BQ138" s="508"/>
      <c r="BR138" s="508"/>
      <c r="BS138" s="508"/>
      <c r="BT138" s="509"/>
      <c r="BU138" s="508"/>
      <c r="BV138" s="508"/>
      <c r="BW138" s="508"/>
      <c r="BX138" s="508"/>
      <c r="BY138" s="508"/>
      <c r="BZ138" s="508"/>
      <c r="CA138" s="508"/>
      <c r="CB138" s="508"/>
      <c r="CC138" s="508"/>
      <c r="CD138" s="508"/>
      <c r="CE138" s="508"/>
      <c r="CF138" s="508"/>
      <c r="CG138" s="508"/>
      <c r="CH138" s="508"/>
      <c r="CI138" s="508"/>
      <c r="CJ138" s="508"/>
      <c r="CK138" s="508"/>
      <c r="CL138" s="508"/>
      <c r="CM138" s="508"/>
      <c r="CN138" s="508"/>
      <c r="CO138" s="508"/>
      <c r="CP138" s="508"/>
      <c r="CQ138" s="508"/>
      <c r="CR138" s="508"/>
      <c r="CS138" s="508"/>
      <c r="CT138" s="508"/>
      <c r="CU138" s="508"/>
      <c r="CV138" s="508"/>
      <c r="CW138" s="508"/>
      <c r="CX138" s="508"/>
      <c r="CY138" s="508"/>
      <c r="CZ138" s="508"/>
      <c r="DA138" s="508"/>
      <c r="DB138" s="508"/>
      <c r="DC138" s="508"/>
      <c r="DD138" s="508"/>
      <c r="DE138" s="508"/>
      <c r="DF138" s="508"/>
      <c r="DG138" s="508"/>
      <c r="DH138" s="508"/>
      <c r="DI138" s="508"/>
      <c r="DJ138" s="508"/>
      <c r="DK138" s="508"/>
      <c r="DL138" s="508"/>
      <c r="DM138" s="508"/>
      <c r="DN138" s="508"/>
      <c r="DO138" s="508"/>
      <c r="DP138" s="508"/>
      <c r="DQ138" s="508"/>
      <c r="DR138" s="508"/>
      <c r="DS138" s="508"/>
      <c r="DT138" s="508"/>
      <c r="DU138" s="508"/>
      <c r="DV138" s="508"/>
      <c r="DW138" s="508"/>
      <c r="DX138" s="508"/>
      <c r="DY138" s="508"/>
      <c r="DZ138" s="508"/>
      <c r="EA138" s="508"/>
      <c r="EB138" s="508"/>
      <c r="EC138" s="508"/>
      <c r="ED138" s="508"/>
      <c r="EE138" s="508"/>
      <c r="EF138" s="508"/>
      <c r="EG138" s="508"/>
      <c r="EH138" s="508"/>
      <c r="EI138" s="508"/>
      <c r="EJ138" s="508"/>
      <c r="EK138" s="508"/>
      <c r="EL138" s="508"/>
      <c r="EM138" s="508"/>
      <c r="EN138" s="508"/>
      <c r="EO138" s="508"/>
      <c r="EP138" s="508"/>
      <c r="EQ138" s="508"/>
      <c r="ER138" s="508"/>
      <c r="ES138" s="508"/>
      <c r="ET138" s="508"/>
      <c r="EU138" s="508"/>
      <c r="EV138" s="508"/>
    </row>
    <row r="139" spans="1:152" s="496" customFormat="1" ht="15" customHeight="1">
      <c r="A139" s="53"/>
      <c r="B139" s="508"/>
      <c r="C139" s="508"/>
      <c r="D139" s="508"/>
      <c r="E139" s="508"/>
      <c r="F139" s="508"/>
      <c r="G139" s="508"/>
      <c r="H139" s="508"/>
      <c r="I139" s="508"/>
      <c r="J139" s="508"/>
      <c r="K139" s="508"/>
      <c r="L139" s="508"/>
      <c r="M139" s="508"/>
      <c r="N139" s="508"/>
      <c r="O139" s="508"/>
      <c r="P139" s="508"/>
      <c r="Q139" s="508"/>
      <c r="R139" s="508"/>
      <c r="S139" s="508"/>
      <c r="T139" s="508"/>
      <c r="U139" s="508"/>
      <c r="V139" s="508"/>
      <c r="W139" s="508"/>
      <c r="X139" s="508"/>
      <c r="Y139" s="508"/>
      <c r="Z139" s="508"/>
      <c r="AA139" s="508"/>
      <c r="AB139" s="508"/>
      <c r="AC139" s="508"/>
      <c r="AD139" s="508"/>
      <c r="AE139" s="508"/>
      <c r="AF139" s="509"/>
      <c r="AG139" s="508"/>
      <c r="AH139" s="508"/>
      <c r="AI139" s="508"/>
      <c r="AJ139" s="508"/>
      <c r="AK139" s="508"/>
      <c r="AL139" s="508"/>
      <c r="AM139" s="508"/>
      <c r="AN139" s="508"/>
      <c r="AO139" s="508"/>
      <c r="AP139" s="508"/>
      <c r="AQ139" s="508"/>
      <c r="AR139" s="508"/>
      <c r="AS139" s="508"/>
      <c r="AT139" s="508"/>
      <c r="AU139" s="508"/>
      <c r="AV139" s="508"/>
      <c r="AW139" s="508"/>
      <c r="AX139" s="508"/>
      <c r="AY139" s="508"/>
      <c r="AZ139" s="509"/>
      <c r="BA139" s="508"/>
      <c r="BB139" s="508"/>
      <c r="BC139" s="508"/>
      <c r="BD139" s="508"/>
      <c r="BE139" s="508"/>
      <c r="BF139" s="508"/>
      <c r="BG139" s="508"/>
      <c r="BH139" s="508"/>
      <c r="BI139" s="508"/>
      <c r="BJ139" s="508"/>
      <c r="BK139" s="508"/>
      <c r="BL139" s="508"/>
      <c r="BM139" s="508"/>
      <c r="BN139" s="508"/>
      <c r="BO139" s="508"/>
      <c r="BP139" s="508"/>
      <c r="BQ139" s="508"/>
      <c r="BR139" s="508"/>
      <c r="BS139" s="508"/>
      <c r="BT139" s="510"/>
      <c r="BU139" s="508"/>
      <c r="BV139" s="508"/>
      <c r="BW139" s="508"/>
      <c r="BX139" s="508"/>
      <c r="BY139" s="508"/>
      <c r="BZ139" s="508"/>
      <c r="CA139" s="508"/>
      <c r="CB139" s="508"/>
      <c r="CC139" s="508"/>
      <c r="CD139" s="508"/>
      <c r="CE139" s="508"/>
      <c r="CF139" s="508"/>
      <c r="CG139" s="508"/>
      <c r="CH139" s="508"/>
      <c r="CI139" s="508"/>
      <c r="CJ139" s="508"/>
      <c r="CK139" s="508"/>
      <c r="CL139" s="508"/>
      <c r="CM139" s="508"/>
      <c r="CN139" s="508"/>
      <c r="CO139" s="508"/>
      <c r="CP139" s="508"/>
      <c r="CQ139" s="508"/>
      <c r="CR139" s="508"/>
      <c r="CS139" s="508"/>
      <c r="CT139" s="508"/>
      <c r="CU139" s="508"/>
      <c r="CV139" s="508"/>
      <c r="CW139" s="508"/>
      <c r="CX139" s="508"/>
      <c r="CY139" s="508"/>
      <c r="CZ139" s="508"/>
      <c r="DA139" s="508"/>
      <c r="DB139" s="508"/>
      <c r="DC139" s="508"/>
      <c r="DD139" s="508"/>
      <c r="DE139" s="508"/>
      <c r="DF139" s="508"/>
      <c r="DG139" s="508"/>
      <c r="DH139" s="508"/>
      <c r="DI139" s="508"/>
      <c r="DJ139" s="508"/>
      <c r="DK139" s="508"/>
      <c r="DL139" s="508"/>
      <c r="DM139" s="508"/>
      <c r="DN139" s="508"/>
      <c r="DO139" s="508"/>
      <c r="DP139" s="508"/>
      <c r="DQ139" s="508"/>
      <c r="DR139" s="508"/>
      <c r="DS139" s="508"/>
      <c r="DT139" s="508"/>
      <c r="DU139" s="508"/>
      <c r="DV139" s="508"/>
      <c r="DW139" s="508"/>
      <c r="DX139" s="508"/>
      <c r="DY139" s="508"/>
      <c r="DZ139" s="508"/>
      <c r="EA139" s="508"/>
      <c r="EB139" s="508"/>
      <c r="EC139" s="508"/>
      <c r="ED139" s="508"/>
      <c r="EE139" s="508"/>
      <c r="EF139" s="508"/>
      <c r="EG139" s="508"/>
      <c r="EH139" s="508"/>
      <c r="EI139" s="508"/>
      <c r="EJ139" s="508"/>
      <c r="EK139" s="508"/>
      <c r="EL139" s="508"/>
      <c r="EM139" s="508"/>
      <c r="EN139" s="508"/>
      <c r="EO139" s="508"/>
      <c r="EP139" s="508"/>
      <c r="EQ139" s="508"/>
      <c r="ER139" s="508"/>
      <c r="ES139" s="508"/>
      <c r="ET139" s="508"/>
      <c r="EU139" s="508"/>
      <c r="EV139" s="508"/>
    </row>
    <row r="140" spans="1:152" s="496" customFormat="1" ht="15" customHeight="1">
      <c r="A140" s="53"/>
      <c r="B140" s="508"/>
      <c r="C140" s="508"/>
      <c r="D140" s="508"/>
      <c r="E140" s="508"/>
      <c r="F140" s="508"/>
      <c r="G140" s="508"/>
      <c r="H140" s="508"/>
      <c r="I140" s="508"/>
      <c r="J140" s="508"/>
      <c r="K140" s="508"/>
      <c r="L140" s="508"/>
      <c r="M140" s="508"/>
      <c r="N140" s="508"/>
      <c r="O140" s="508"/>
      <c r="P140" s="508"/>
      <c r="Q140" s="508"/>
      <c r="R140" s="508"/>
      <c r="S140" s="508"/>
      <c r="T140" s="508"/>
      <c r="U140" s="508"/>
      <c r="V140" s="508"/>
      <c r="W140" s="508"/>
      <c r="X140" s="508"/>
      <c r="Y140" s="508"/>
      <c r="Z140" s="508"/>
      <c r="AA140" s="508"/>
      <c r="AB140" s="508"/>
      <c r="AC140" s="508"/>
      <c r="AD140" s="508"/>
      <c r="AE140" s="508"/>
      <c r="AF140" s="509"/>
      <c r="AG140" s="508"/>
      <c r="AH140" s="508"/>
      <c r="AI140" s="508"/>
      <c r="AJ140" s="508"/>
      <c r="AK140" s="508"/>
      <c r="AL140" s="508"/>
      <c r="AM140" s="508"/>
      <c r="AN140" s="508"/>
      <c r="AO140" s="508"/>
      <c r="AP140" s="508"/>
      <c r="AQ140" s="508"/>
      <c r="AR140" s="508"/>
      <c r="AS140" s="508"/>
      <c r="AT140" s="508"/>
      <c r="AU140" s="508"/>
      <c r="AV140" s="508"/>
      <c r="AW140" s="508"/>
      <c r="AX140" s="508"/>
      <c r="AY140" s="508"/>
      <c r="AZ140" s="510"/>
      <c r="BA140" s="508"/>
      <c r="BB140" s="508"/>
      <c r="BC140" s="508"/>
      <c r="BD140" s="508"/>
      <c r="BE140" s="508"/>
      <c r="BF140" s="508"/>
      <c r="BG140" s="508"/>
      <c r="BH140" s="508"/>
      <c r="BI140" s="508"/>
      <c r="BJ140" s="508"/>
      <c r="BK140" s="508"/>
      <c r="BL140" s="508"/>
      <c r="BM140" s="508"/>
      <c r="BN140" s="508"/>
      <c r="BO140" s="508"/>
      <c r="BP140" s="508"/>
      <c r="BQ140" s="508"/>
      <c r="BR140" s="508"/>
      <c r="BS140" s="508"/>
      <c r="BT140" s="509"/>
      <c r="BU140" s="508"/>
      <c r="BV140" s="508"/>
      <c r="BW140" s="508"/>
      <c r="BX140" s="508"/>
      <c r="BY140" s="508"/>
      <c r="BZ140" s="508"/>
      <c r="CA140" s="508"/>
      <c r="CB140" s="508"/>
      <c r="CC140" s="508"/>
      <c r="CD140" s="508"/>
      <c r="CE140" s="508"/>
      <c r="CF140" s="508"/>
      <c r="CG140" s="508"/>
      <c r="CH140" s="508"/>
      <c r="CI140" s="508"/>
      <c r="CJ140" s="508"/>
      <c r="CK140" s="508"/>
      <c r="CL140" s="508"/>
      <c r="CM140" s="508"/>
      <c r="CN140" s="508"/>
      <c r="CO140" s="508"/>
      <c r="CP140" s="508"/>
      <c r="CQ140" s="508"/>
      <c r="CR140" s="508"/>
      <c r="CS140" s="508"/>
      <c r="CT140" s="508"/>
      <c r="CU140" s="508"/>
      <c r="CV140" s="508"/>
      <c r="CW140" s="508"/>
      <c r="CX140" s="508"/>
      <c r="CY140" s="508"/>
      <c r="CZ140" s="508"/>
      <c r="DA140" s="508"/>
      <c r="DB140" s="508"/>
      <c r="DC140" s="508"/>
      <c r="DD140" s="508"/>
      <c r="DE140" s="508"/>
      <c r="DF140" s="508"/>
      <c r="DG140" s="508"/>
      <c r="DH140" s="508"/>
      <c r="DI140" s="508"/>
      <c r="DJ140" s="508"/>
      <c r="DK140" s="508"/>
      <c r="DL140" s="508"/>
      <c r="DM140" s="508"/>
      <c r="DN140" s="508"/>
      <c r="DO140" s="508"/>
      <c r="DP140" s="508"/>
      <c r="DQ140" s="508"/>
      <c r="DR140" s="508"/>
      <c r="DS140" s="508"/>
      <c r="DT140" s="508"/>
      <c r="DU140" s="508"/>
      <c r="DV140" s="508"/>
      <c r="DW140" s="508"/>
      <c r="DX140" s="508"/>
      <c r="DY140" s="508"/>
      <c r="DZ140" s="508"/>
      <c r="EA140" s="508"/>
      <c r="EB140" s="508"/>
      <c r="EC140" s="508"/>
      <c r="ED140" s="508"/>
      <c r="EE140" s="508"/>
      <c r="EF140" s="508"/>
      <c r="EG140" s="508"/>
      <c r="EH140" s="508"/>
      <c r="EI140" s="508"/>
      <c r="EJ140" s="508"/>
      <c r="EK140" s="508"/>
      <c r="EL140" s="508"/>
      <c r="EM140" s="508"/>
      <c r="EN140" s="508"/>
      <c r="EO140" s="508"/>
      <c r="EP140" s="508"/>
      <c r="EQ140" s="508"/>
      <c r="ER140" s="508"/>
      <c r="ES140" s="508"/>
      <c r="ET140" s="508"/>
      <c r="EU140" s="508"/>
      <c r="EV140" s="508"/>
    </row>
    <row r="141" spans="1:152" s="511" customFormat="1" ht="13.5" customHeight="1">
      <c r="A141" s="69" t="s">
        <v>52</v>
      </c>
      <c r="B141" s="117" t="s">
        <v>23</v>
      </c>
      <c r="C141" s="117" t="s">
        <v>24</v>
      </c>
      <c r="D141" s="1266"/>
      <c r="E141" s="1267"/>
      <c r="F141" s="1267"/>
      <c r="G141" s="1267"/>
      <c r="H141" s="1267"/>
      <c r="I141" s="491"/>
      <c r="J141" s="491"/>
      <c r="K141" s="491"/>
      <c r="L141" s="491"/>
      <c r="M141" s="491"/>
      <c r="V141" s="512"/>
      <c r="AF141" s="512"/>
      <c r="AP141" s="512"/>
      <c r="AZ141" s="512"/>
      <c r="BJ141" s="512"/>
      <c r="BT141" s="512"/>
      <c r="CD141" s="512"/>
      <c r="CN141" s="512"/>
      <c r="CX141" s="512"/>
      <c r="DH141" s="512"/>
      <c r="DR141" s="512"/>
      <c r="EB141" s="513"/>
      <c r="EC141" s="514"/>
      <c r="ED141" s="514"/>
      <c r="EE141" s="514"/>
      <c r="EF141" s="514"/>
      <c r="EG141" s="514"/>
      <c r="EH141" s="514"/>
      <c r="EI141" s="514"/>
      <c r="EJ141" s="514"/>
      <c r="EK141" s="514"/>
      <c r="EL141" s="513"/>
      <c r="EM141" s="514"/>
      <c r="EN141" s="514"/>
      <c r="EO141" s="514"/>
      <c r="EP141" s="514"/>
      <c r="EQ141" s="514"/>
      <c r="ER141" s="514"/>
      <c r="ES141" s="514"/>
      <c r="ET141" s="514"/>
      <c r="EU141" s="514"/>
      <c r="EV141" s="513"/>
    </row>
    <row r="142" spans="1:152" s="511" customFormat="1" ht="13.5" customHeight="1">
      <c r="A142" s="483" t="s">
        <v>43</v>
      </c>
      <c r="B142" s="515">
        <v>0</v>
      </c>
      <c r="C142" s="515">
        <v>0</v>
      </c>
      <c r="D142" s="483"/>
      <c r="E142" s="483"/>
      <c r="F142" s="483"/>
      <c r="G142" s="483"/>
      <c r="H142" s="483"/>
      <c r="I142" s="483"/>
      <c r="J142" s="483"/>
      <c r="K142" s="483"/>
      <c r="L142" s="483"/>
      <c r="M142" s="483"/>
      <c r="V142" s="512"/>
      <c r="AF142" s="512"/>
      <c r="AP142" s="512"/>
      <c r="AZ142" s="512"/>
      <c r="BJ142" s="512"/>
      <c r="BT142" s="512"/>
      <c r="CD142" s="512"/>
      <c r="CN142" s="512"/>
      <c r="CX142" s="512"/>
      <c r="DH142" s="512"/>
      <c r="DR142" s="512"/>
      <c r="EB142" s="513"/>
      <c r="EC142" s="514"/>
      <c r="ED142" s="514"/>
      <c r="EE142" s="514"/>
      <c r="EF142" s="514"/>
      <c r="EG142" s="514"/>
      <c r="EH142" s="514"/>
      <c r="EI142" s="514"/>
      <c r="EJ142" s="514"/>
      <c r="EK142" s="514"/>
      <c r="EL142" s="513"/>
      <c r="EM142" s="514"/>
      <c r="EN142" s="514"/>
      <c r="EO142" s="514"/>
      <c r="EP142" s="514"/>
      <c r="EQ142" s="514"/>
      <c r="ER142" s="514"/>
      <c r="ES142" s="514"/>
      <c r="ET142" s="514"/>
      <c r="EU142" s="514"/>
      <c r="EV142" s="513"/>
    </row>
    <row r="143" spans="1:152" s="511" customFormat="1" ht="13.5" customHeight="1">
      <c r="A143" s="6" t="s">
        <v>7</v>
      </c>
      <c r="B143" s="1276">
        <v>1.2</v>
      </c>
      <c r="C143" s="1280">
        <v>0.96</v>
      </c>
      <c r="D143" s="487"/>
      <c r="E143" s="487"/>
      <c r="F143" s="487"/>
      <c r="G143" s="487"/>
      <c r="H143" s="487"/>
      <c r="I143" s="487"/>
      <c r="J143" s="487"/>
      <c r="K143" s="487"/>
      <c r="L143" s="487"/>
      <c r="M143" s="487"/>
      <c r="AF143" s="512"/>
      <c r="AP143" s="512"/>
      <c r="AZ143" s="512"/>
      <c r="BJ143" s="512"/>
      <c r="BT143" s="512"/>
      <c r="CD143" s="512"/>
      <c r="CN143" s="512"/>
      <c r="CX143" s="512"/>
      <c r="DH143" s="512"/>
      <c r="DR143" s="512"/>
      <c r="EB143" s="513"/>
      <c r="EC143" s="514"/>
      <c r="ED143" s="514"/>
      <c r="EE143" s="514"/>
      <c r="EF143" s="514"/>
      <c r="EG143" s="514"/>
      <c r="EH143" s="514"/>
      <c r="EI143" s="514"/>
      <c r="EJ143" s="514"/>
      <c r="EK143" s="514"/>
      <c r="EL143" s="513"/>
      <c r="EM143" s="514"/>
      <c r="EN143" s="514"/>
      <c r="EO143" s="514"/>
      <c r="EP143" s="514"/>
      <c r="EQ143" s="514"/>
      <c r="ER143" s="514"/>
      <c r="ES143" s="514"/>
      <c r="ET143" s="514"/>
      <c r="EU143" s="514"/>
      <c r="EV143" s="513"/>
    </row>
    <row r="144" s="511" customFormat="1" ht="13.5" customHeight="1"/>
    <row r="145" spans="1:152" s="511" customFormat="1" ht="13.5" customHeight="1">
      <c r="A145" s="53"/>
      <c r="B145" s="496"/>
      <c r="C145" s="516"/>
      <c r="D145" s="490"/>
      <c r="E145" s="490"/>
      <c r="F145" s="490"/>
      <c r="G145" s="490"/>
      <c r="H145" s="490"/>
      <c r="I145" s="490"/>
      <c r="J145" s="490"/>
      <c r="K145" s="490"/>
      <c r="L145" s="490"/>
      <c r="M145" s="490"/>
      <c r="V145" s="512"/>
      <c r="AF145" s="512"/>
      <c r="AP145" s="512"/>
      <c r="AZ145" s="512"/>
      <c r="BJ145" s="512"/>
      <c r="BT145" s="512"/>
      <c r="CD145" s="512"/>
      <c r="CN145" s="512"/>
      <c r="CX145" s="512"/>
      <c r="DH145" s="512"/>
      <c r="DR145" s="512"/>
      <c r="EB145" s="513"/>
      <c r="EC145" s="514"/>
      <c r="ED145" s="514"/>
      <c r="EE145" s="514"/>
      <c r="EF145" s="514"/>
      <c r="EG145" s="514"/>
      <c r="EH145" s="514"/>
      <c r="EI145" s="514"/>
      <c r="EJ145" s="514"/>
      <c r="EK145" s="514"/>
      <c r="EL145" s="513"/>
      <c r="EM145" s="514"/>
      <c r="EN145" s="514"/>
      <c r="EO145" s="514"/>
      <c r="EP145" s="514"/>
      <c r="EQ145" s="514"/>
      <c r="ER145" s="514"/>
      <c r="ES145" s="514"/>
      <c r="ET145" s="514"/>
      <c r="EU145" s="514"/>
      <c r="EV145" s="513"/>
    </row>
    <row r="146" spans="1:152" s="511" customFormat="1" ht="13.5" customHeight="1">
      <c r="A146" s="53"/>
      <c r="B146" s="496"/>
      <c r="C146" s="516"/>
      <c r="D146" s="490"/>
      <c r="E146" s="490"/>
      <c r="F146" s="490"/>
      <c r="G146" s="490"/>
      <c r="H146" s="490"/>
      <c r="I146" s="490"/>
      <c r="J146" s="490"/>
      <c r="K146" s="490"/>
      <c r="L146" s="490"/>
      <c r="M146" s="490"/>
      <c r="V146" s="512"/>
      <c r="AF146" s="512"/>
      <c r="AP146" s="512"/>
      <c r="AZ146" s="512"/>
      <c r="BJ146" s="512"/>
      <c r="BT146" s="512"/>
      <c r="CD146" s="512"/>
      <c r="CN146" s="512"/>
      <c r="CX146" s="512"/>
      <c r="DH146" s="512"/>
      <c r="DR146" s="512"/>
      <c r="EB146" s="513"/>
      <c r="EC146" s="514"/>
      <c r="ED146" s="514"/>
      <c r="EE146" s="514"/>
      <c r="EF146" s="514"/>
      <c r="EG146" s="514"/>
      <c r="EH146" s="514"/>
      <c r="EI146" s="514"/>
      <c r="EJ146" s="514"/>
      <c r="EK146" s="514"/>
      <c r="EL146" s="513"/>
      <c r="EM146" s="514"/>
      <c r="EN146" s="514"/>
      <c r="EO146" s="514"/>
      <c r="EP146" s="514"/>
      <c r="EQ146" s="514"/>
      <c r="ER146" s="514"/>
      <c r="ES146" s="514"/>
      <c r="ET146" s="514"/>
      <c r="EU146" s="514"/>
      <c r="EV146" s="513"/>
    </row>
    <row r="147" spans="1:152" s="511" customFormat="1" ht="13.5" customHeight="1">
      <c r="A147" s="53"/>
      <c r="B147" s="496"/>
      <c r="C147" s="516"/>
      <c r="D147" s="490"/>
      <c r="E147" s="490"/>
      <c r="F147" s="490"/>
      <c r="G147" s="490"/>
      <c r="H147" s="490"/>
      <c r="I147" s="490"/>
      <c r="J147" s="490"/>
      <c r="K147" s="490"/>
      <c r="L147" s="490"/>
      <c r="M147" s="490"/>
      <c r="V147" s="512"/>
      <c r="AF147" s="512"/>
      <c r="AP147" s="512"/>
      <c r="AZ147" s="512"/>
      <c r="BJ147" s="512"/>
      <c r="BT147" s="512"/>
      <c r="CD147" s="512"/>
      <c r="CN147" s="512"/>
      <c r="CX147" s="512"/>
      <c r="DH147" s="512"/>
      <c r="DR147" s="512"/>
      <c r="EB147" s="513"/>
      <c r="EC147" s="514"/>
      <c r="ED147" s="514"/>
      <c r="EE147" s="514"/>
      <c r="EF147" s="514"/>
      <c r="EG147" s="514"/>
      <c r="EH147" s="514"/>
      <c r="EI147" s="514"/>
      <c r="EJ147" s="514"/>
      <c r="EK147" s="514"/>
      <c r="EL147" s="513"/>
      <c r="EM147" s="514"/>
      <c r="EN147" s="514"/>
      <c r="EO147" s="514"/>
      <c r="EP147" s="514"/>
      <c r="EQ147" s="514"/>
      <c r="ER147" s="514"/>
      <c r="ES147" s="514"/>
      <c r="ET147" s="514"/>
      <c r="EU147" s="514"/>
      <c r="EV147" s="513"/>
    </row>
    <row r="148" spans="1:152" s="511" customFormat="1" ht="13.5" customHeight="1">
      <c r="A148" s="53"/>
      <c r="B148" s="496"/>
      <c r="C148" s="516"/>
      <c r="D148" s="490"/>
      <c r="E148" s="490"/>
      <c r="F148" s="490"/>
      <c r="G148" s="490"/>
      <c r="H148" s="490"/>
      <c r="I148" s="490"/>
      <c r="J148" s="490"/>
      <c r="K148" s="490"/>
      <c r="L148" s="490"/>
      <c r="M148" s="490"/>
      <c r="V148" s="512"/>
      <c r="AF148" s="512"/>
      <c r="AP148" s="512"/>
      <c r="AZ148" s="512"/>
      <c r="BJ148" s="512"/>
      <c r="BT148" s="512"/>
      <c r="CD148" s="512"/>
      <c r="CN148" s="512"/>
      <c r="CX148" s="512"/>
      <c r="DH148" s="512"/>
      <c r="DR148" s="512"/>
      <c r="EB148" s="513"/>
      <c r="EC148" s="514"/>
      <c r="ED148" s="514"/>
      <c r="EE148" s="514"/>
      <c r="EF148" s="514"/>
      <c r="EG148" s="514"/>
      <c r="EH148" s="514"/>
      <c r="EI148" s="514"/>
      <c r="EJ148" s="514"/>
      <c r="EK148" s="514"/>
      <c r="EL148" s="513"/>
      <c r="EM148" s="514"/>
      <c r="EN148" s="514"/>
      <c r="EO148" s="514"/>
      <c r="EP148" s="514"/>
      <c r="EQ148" s="514"/>
      <c r="ER148" s="514"/>
      <c r="ES148" s="514"/>
      <c r="ET148" s="514"/>
      <c r="EU148" s="514"/>
      <c r="EV148" s="513"/>
    </row>
    <row r="149" spans="1:152" s="511" customFormat="1" ht="13.5" customHeight="1">
      <c r="A149" s="53"/>
      <c r="B149" s="496"/>
      <c r="C149" s="516"/>
      <c r="D149" s="490"/>
      <c r="E149" s="490"/>
      <c r="F149" s="490"/>
      <c r="G149" s="490"/>
      <c r="H149" s="490"/>
      <c r="I149" s="490"/>
      <c r="J149" s="490"/>
      <c r="K149" s="490"/>
      <c r="L149" s="490"/>
      <c r="M149" s="490"/>
      <c r="V149" s="512"/>
      <c r="AF149" s="512"/>
      <c r="AP149" s="512"/>
      <c r="AZ149" s="512"/>
      <c r="BJ149" s="512"/>
      <c r="BT149" s="512"/>
      <c r="CD149" s="512"/>
      <c r="CN149" s="512"/>
      <c r="CX149" s="512"/>
      <c r="DH149" s="512"/>
      <c r="DR149" s="512"/>
      <c r="EB149" s="513"/>
      <c r="EC149" s="514"/>
      <c r="ED149" s="514"/>
      <c r="EE149" s="514"/>
      <c r="EF149" s="514"/>
      <c r="EG149" s="514"/>
      <c r="EH149" s="514"/>
      <c r="EI149" s="514"/>
      <c r="EJ149" s="514"/>
      <c r="EK149" s="514"/>
      <c r="EL149" s="513"/>
      <c r="EM149" s="514"/>
      <c r="EN149" s="514"/>
      <c r="EO149" s="514"/>
      <c r="EP149" s="514"/>
      <c r="EQ149" s="514"/>
      <c r="ER149" s="514"/>
      <c r="ES149" s="514"/>
      <c r="ET149" s="514"/>
      <c r="EU149" s="514"/>
      <c r="EV149" s="513"/>
    </row>
    <row r="150" spans="1:152" s="511" customFormat="1" ht="13.5" customHeight="1">
      <c r="A150" s="53"/>
      <c r="B150" s="496"/>
      <c r="C150" s="516"/>
      <c r="D150" s="490"/>
      <c r="E150" s="490"/>
      <c r="F150" s="490"/>
      <c r="G150" s="490"/>
      <c r="H150" s="490"/>
      <c r="I150" s="490"/>
      <c r="J150" s="490"/>
      <c r="K150" s="490"/>
      <c r="L150" s="490"/>
      <c r="M150" s="490"/>
      <c r="V150" s="512"/>
      <c r="AF150" s="512"/>
      <c r="AP150" s="512"/>
      <c r="AZ150" s="512"/>
      <c r="BJ150" s="512"/>
      <c r="BT150" s="512"/>
      <c r="CD150" s="512"/>
      <c r="CN150" s="512"/>
      <c r="CX150" s="512"/>
      <c r="DH150" s="512"/>
      <c r="DR150" s="512"/>
      <c r="EB150" s="513"/>
      <c r="EC150" s="514"/>
      <c r="ED150" s="514"/>
      <c r="EE150" s="514"/>
      <c r="EF150" s="514"/>
      <c r="EG150" s="514"/>
      <c r="EH150" s="514"/>
      <c r="EI150" s="514"/>
      <c r="EJ150" s="514"/>
      <c r="EK150" s="514"/>
      <c r="EL150" s="513"/>
      <c r="EM150" s="514"/>
      <c r="EN150" s="514"/>
      <c r="EO150" s="514"/>
      <c r="EP150" s="514"/>
      <c r="EQ150" s="514"/>
      <c r="ER150" s="514"/>
      <c r="ES150" s="514"/>
      <c r="ET150" s="514"/>
      <c r="EU150" s="514"/>
      <c r="EV150" s="513"/>
    </row>
    <row r="151" spans="1:152" s="511" customFormat="1" ht="13.5" customHeight="1">
      <c r="A151" s="53"/>
      <c r="B151" s="496"/>
      <c r="C151" s="517"/>
      <c r="D151" s="490"/>
      <c r="E151" s="490"/>
      <c r="F151" s="490"/>
      <c r="G151" s="490"/>
      <c r="H151" s="490"/>
      <c r="I151" s="490"/>
      <c r="J151" s="490"/>
      <c r="K151" s="490"/>
      <c r="L151" s="490"/>
      <c r="M151" s="490"/>
      <c r="V151" s="512"/>
      <c r="AF151" s="512"/>
      <c r="AP151" s="512"/>
      <c r="AZ151" s="512"/>
      <c r="BJ151" s="512"/>
      <c r="BT151" s="512"/>
      <c r="CD151" s="512"/>
      <c r="CN151" s="512"/>
      <c r="CX151" s="512"/>
      <c r="DH151" s="512"/>
      <c r="DR151" s="512"/>
      <c r="EB151" s="513"/>
      <c r="EC151" s="514"/>
      <c r="ED151" s="514"/>
      <c r="EE151" s="514"/>
      <c r="EF151" s="514"/>
      <c r="EG151" s="514"/>
      <c r="EH151" s="514"/>
      <c r="EI151" s="514"/>
      <c r="EJ151" s="514"/>
      <c r="EK151" s="514"/>
      <c r="EL151" s="513"/>
      <c r="EM151" s="514"/>
      <c r="EN151" s="514"/>
      <c r="EO151" s="514"/>
      <c r="EP151" s="514"/>
      <c r="EQ151" s="514"/>
      <c r="ER151" s="514"/>
      <c r="ES151" s="514"/>
      <c r="ET151" s="514"/>
      <c r="EU151" s="514"/>
      <c r="EV151" s="513"/>
    </row>
    <row r="152" spans="1:152" s="511" customFormat="1" ht="13.5" customHeight="1">
      <c r="A152" s="53"/>
      <c r="B152" s="496"/>
      <c r="C152" s="517"/>
      <c r="D152" s="490"/>
      <c r="E152" s="490"/>
      <c r="F152" s="490"/>
      <c r="G152" s="490"/>
      <c r="H152" s="490"/>
      <c r="I152" s="490"/>
      <c r="J152" s="490"/>
      <c r="K152" s="490"/>
      <c r="L152" s="490"/>
      <c r="M152" s="490"/>
      <c r="V152" s="512"/>
      <c r="AF152" s="512"/>
      <c r="AP152" s="512"/>
      <c r="AZ152" s="512"/>
      <c r="BJ152" s="512"/>
      <c r="BT152" s="512"/>
      <c r="CD152" s="512"/>
      <c r="CN152" s="512"/>
      <c r="CX152" s="512"/>
      <c r="DH152" s="512"/>
      <c r="DR152" s="512"/>
      <c r="EB152" s="513"/>
      <c r="EC152" s="514"/>
      <c r="ED152" s="514"/>
      <c r="EE152" s="514"/>
      <c r="EF152" s="514"/>
      <c r="EG152" s="514"/>
      <c r="EH152" s="514"/>
      <c r="EI152" s="514"/>
      <c r="EJ152" s="514"/>
      <c r="EK152" s="514"/>
      <c r="EL152" s="513"/>
      <c r="EM152" s="514"/>
      <c r="EN152" s="514"/>
      <c r="EO152" s="514"/>
      <c r="EP152" s="514"/>
      <c r="EQ152" s="514"/>
      <c r="ER152" s="514"/>
      <c r="ES152" s="514"/>
      <c r="ET152" s="514"/>
      <c r="EU152" s="514"/>
      <c r="EV152" s="513"/>
    </row>
    <row r="153" spans="1:152" s="511" customFormat="1" ht="13.5" customHeight="1">
      <c r="A153" s="53"/>
      <c r="B153" s="496"/>
      <c r="C153" s="516"/>
      <c r="D153" s="490"/>
      <c r="E153" s="490"/>
      <c r="F153" s="490"/>
      <c r="G153" s="490"/>
      <c r="H153" s="490"/>
      <c r="I153" s="490"/>
      <c r="J153" s="490"/>
      <c r="K153" s="490"/>
      <c r="L153" s="490"/>
      <c r="M153" s="490"/>
      <c r="V153" s="512"/>
      <c r="AF153" s="512"/>
      <c r="AP153" s="512"/>
      <c r="AZ153" s="512"/>
      <c r="BJ153" s="512"/>
      <c r="BT153" s="512"/>
      <c r="CD153" s="512"/>
      <c r="CN153" s="512"/>
      <c r="CX153" s="512"/>
      <c r="DH153" s="512"/>
      <c r="DR153" s="512"/>
      <c r="EB153" s="513"/>
      <c r="EC153" s="514"/>
      <c r="ED153" s="514"/>
      <c r="EE153" s="514"/>
      <c r="EF153" s="514"/>
      <c r="EG153" s="514"/>
      <c r="EH153" s="514"/>
      <c r="EI153" s="514"/>
      <c r="EJ153" s="514"/>
      <c r="EK153" s="514"/>
      <c r="EL153" s="513"/>
      <c r="EM153" s="514"/>
      <c r="EN153" s="514"/>
      <c r="EO153" s="514"/>
      <c r="EP153" s="514"/>
      <c r="EQ153" s="514"/>
      <c r="ER153" s="514"/>
      <c r="ES153" s="514"/>
      <c r="ET153" s="514"/>
      <c r="EU153" s="514"/>
      <c r="EV153" s="513"/>
    </row>
    <row r="154" spans="1:152" s="511" customFormat="1" ht="13.5" customHeight="1">
      <c r="A154" s="53"/>
      <c r="B154" s="496"/>
      <c r="C154" s="516"/>
      <c r="D154" s="490"/>
      <c r="E154" s="490"/>
      <c r="F154" s="490"/>
      <c r="G154" s="490"/>
      <c r="H154" s="490"/>
      <c r="I154" s="490"/>
      <c r="J154" s="490"/>
      <c r="K154" s="490"/>
      <c r="L154" s="490"/>
      <c r="M154" s="490"/>
      <c r="V154" s="512"/>
      <c r="AF154" s="512"/>
      <c r="AP154" s="512"/>
      <c r="AZ154" s="512"/>
      <c r="BJ154" s="512"/>
      <c r="BT154" s="512"/>
      <c r="CD154" s="512"/>
      <c r="CN154" s="512"/>
      <c r="CX154" s="512"/>
      <c r="DH154" s="512"/>
      <c r="DR154" s="512"/>
      <c r="EB154" s="513"/>
      <c r="EC154" s="514"/>
      <c r="ED154" s="514"/>
      <c r="EE154" s="514"/>
      <c r="EF154" s="514"/>
      <c r="EG154" s="514"/>
      <c r="EH154" s="514"/>
      <c r="EI154" s="514"/>
      <c r="EJ154" s="514"/>
      <c r="EK154" s="514"/>
      <c r="EL154" s="513"/>
      <c r="EM154" s="514"/>
      <c r="EN154" s="514"/>
      <c r="EO154" s="514"/>
      <c r="EP154" s="514"/>
      <c r="EQ154" s="514"/>
      <c r="ER154" s="514"/>
      <c r="ES154" s="514"/>
      <c r="ET154" s="514"/>
      <c r="EU154" s="514"/>
      <c r="EV154" s="513"/>
    </row>
    <row r="155" spans="1:152" s="511" customFormat="1" ht="13.5" customHeight="1">
      <c r="A155" s="53"/>
      <c r="B155" s="496"/>
      <c r="C155" s="516"/>
      <c r="D155" s="490"/>
      <c r="E155" s="490"/>
      <c r="F155" s="490"/>
      <c r="G155" s="490"/>
      <c r="H155" s="490"/>
      <c r="I155" s="490"/>
      <c r="J155" s="490"/>
      <c r="K155" s="490"/>
      <c r="L155" s="490"/>
      <c r="M155" s="490"/>
      <c r="V155" s="512"/>
      <c r="AF155" s="512"/>
      <c r="AP155" s="512"/>
      <c r="AZ155" s="512"/>
      <c r="BJ155" s="512"/>
      <c r="BT155" s="512"/>
      <c r="CD155" s="512"/>
      <c r="CN155" s="512"/>
      <c r="CX155" s="512"/>
      <c r="DH155" s="512"/>
      <c r="DR155" s="512"/>
      <c r="EB155" s="513"/>
      <c r="EC155" s="514"/>
      <c r="ED155" s="514"/>
      <c r="EE155" s="514"/>
      <c r="EF155" s="514"/>
      <c r="EG155" s="514"/>
      <c r="EH155" s="514"/>
      <c r="EI155" s="514"/>
      <c r="EJ155" s="514"/>
      <c r="EK155" s="514"/>
      <c r="EL155" s="513"/>
      <c r="EM155" s="514"/>
      <c r="EN155" s="514"/>
      <c r="EO155" s="514"/>
      <c r="EP155" s="514"/>
      <c r="EQ155" s="514"/>
      <c r="ER155" s="514"/>
      <c r="ES155" s="514"/>
      <c r="ET155" s="514"/>
      <c r="EU155" s="514"/>
      <c r="EV155" s="513"/>
    </row>
    <row r="156" spans="1:152" s="511" customFormat="1" ht="13.5" customHeight="1">
      <c r="A156" s="69" t="s">
        <v>52</v>
      </c>
      <c r="D156" s="491"/>
      <c r="E156" s="491"/>
      <c r="F156" s="491"/>
      <c r="G156" s="491"/>
      <c r="H156" s="491"/>
      <c r="I156" s="491"/>
      <c r="J156" s="491"/>
      <c r="K156" s="491"/>
      <c r="L156" s="491"/>
      <c r="M156" s="491"/>
      <c r="V156" s="512"/>
      <c r="AF156" s="512"/>
      <c r="AP156" s="512"/>
      <c r="AZ156" s="512"/>
      <c r="BJ156" s="512"/>
      <c r="BT156" s="512"/>
      <c r="CD156" s="512"/>
      <c r="CN156" s="512"/>
      <c r="CX156" s="512"/>
      <c r="DH156" s="512"/>
      <c r="DR156" s="512"/>
      <c r="EB156" s="513"/>
      <c r="EC156" s="514"/>
      <c r="ED156" s="514"/>
      <c r="EE156" s="514"/>
      <c r="EF156" s="514"/>
      <c r="EG156" s="514"/>
      <c r="EH156" s="514"/>
      <c r="EI156" s="514"/>
      <c r="EJ156" s="514"/>
      <c r="EK156" s="514"/>
      <c r="EL156" s="513"/>
      <c r="EM156" s="514"/>
      <c r="EN156" s="514"/>
      <c r="EO156" s="514"/>
      <c r="EP156" s="514"/>
      <c r="EQ156" s="514"/>
      <c r="ER156" s="514"/>
      <c r="ES156" s="514"/>
      <c r="ET156" s="514"/>
      <c r="EU156" s="514"/>
      <c r="EV156" s="513"/>
    </row>
    <row r="157" ht="13.5" customHeight="1"/>
    <row r="158" ht="13.5" customHeight="1"/>
    <row r="159" ht="13.5" customHeight="1"/>
  </sheetData>
  <sheetProtection password="E89A" sheet="1" objects="1" scenarios="1"/>
  <mergeCells count="11">
    <mergeCell ref="O2:T2"/>
    <mergeCell ref="D5:G5"/>
    <mergeCell ref="D35:G35"/>
    <mergeCell ref="D50:G50"/>
    <mergeCell ref="D65:G65"/>
    <mergeCell ref="D20:G20"/>
    <mergeCell ref="D95:L95"/>
    <mergeCell ref="D141:H141"/>
    <mergeCell ref="D80:G80"/>
    <mergeCell ref="D126:M126"/>
    <mergeCell ref="D110:L110"/>
  </mergeCells>
  <printOptions/>
  <pageMargins left="0.75" right="0.75" top="1" bottom="1" header="0.4921259845" footer="0.492125984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Bullack.</dc:creator>
  <cp:keywords/>
  <dc:description/>
  <cp:lastModifiedBy>NBernau</cp:lastModifiedBy>
  <cp:lastPrinted>2006-11-01T11:08:30Z</cp:lastPrinted>
  <dcterms:created xsi:type="dcterms:W3CDTF">2000-03-12T07:22:45Z</dcterms:created>
  <dcterms:modified xsi:type="dcterms:W3CDTF">2006-11-16T13:38:14Z</dcterms:modified>
  <cp:category/>
  <cp:version/>
  <cp:contentType/>
  <cp:contentStatus/>
</cp:coreProperties>
</file>